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https://washoenv.sharepoint.com/sites/TSmeetingcoordinator/Shared Documents/800MHz and P25 Meetings/P25 JOC/2024-01-25/"/>
    </mc:Choice>
  </mc:AlternateContent>
  <xr:revisionPtr revIDLastSave="1" documentId="8_{9FF9CA94-7E22-4913-9070-ADC88275C5CA}" xr6:coauthVersionLast="47" xr6:coauthVersionMax="47" xr10:uidLastSave="{C75159F6-1AE7-4AAC-A770-98A4CA1D37E4}"/>
  <bookViews>
    <workbookView xWindow="5940" yWindow="1170" windowWidth="13125" windowHeight="15480" tabRatio="780" activeTab="9" xr2:uid="{00000000-000D-0000-FFFF-FFFF00000000}"/>
  </bookViews>
  <sheets>
    <sheet name="Table B.1 - Total Washoe Cost" sheetId="1" r:id="rId1"/>
    <sheet name="Table B.8 - WC System" sheetId="23" r:id="rId2"/>
    <sheet name="Table B.9 - WC Spares" sheetId="24" r:id="rId3"/>
    <sheet name="Table B.10 - WC Services" sheetId="25" r:id="rId4"/>
    <sheet name="Table B.11 - Greenfield Sites-D" sheetId="26" r:id="rId5"/>
    <sheet name="Table B.12 - Lifecyle Support" sheetId="14" r:id="rId6"/>
    <sheet name="Table B.13 - Post-Support" sheetId="15" r:id="rId7"/>
    <sheet name="Table B.14 - Dispatch" sheetId="16" r:id="rId8"/>
    <sheet name="Table B.15b - User Radios" sheetId="17" state="hidden" r:id="rId9"/>
    <sheet name="Table B.15 - User Radios" sheetId="27" r:id="rId10"/>
    <sheet name="Radio Sites" sheetId="18" state="hidden" r:id="rId11"/>
  </sheets>
  <definedNames>
    <definedName name="_xlnm._FilterDatabase" localSheetId="3" hidden="1">'Table B.10 - WC Services'!$A$31:$A$51</definedName>
    <definedName name="_GoBack" localSheetId="10">'Radio Sites'!$E$7</definedName>
    <definedName name="_xlnm.Print_Area" localSheetId="0">'Table B.1 - Total Washoe Cost'!$A$1:$B$44</definedName>
    <definedName name="_xlnm.Print_Area" localSheetId="3">'Table B.10 - WC Services'!$A$1:$E$51</definedName>
    <definedName name="_xlnm.Print_Area" localSheetId="4">'Table B.11 - Greenfield Sites-D'!$A$1:$B$24</definedName>
    <definedName name="_xlnm.Print_Area" localSheetId="9">'Table B.15 - User Radios'!$A$1:$F$95</definedName>
    <definedName name="_xlnm.Print_Area" localSheetId="1">'Table B.8 - WC System'!$A$1:$CZ$78</definedName>
    <definedName name="_xlnm.Print_Titles" localSheetId="0">'Table B.1 - Total Washoe Cost'!$1:$1</definedName>
    <definedName name="_xlnm.Print_Titles" localSheetId="4">'Table B.11 - Greenfield Sites-D'!$1:$1</definedName>
    <definedName name="_xlnm.Print_Titles" localSheetId="5">'Table B.12 - Lifecyle Support'!$1:$1</definedName>
    <definedName name="_xlnm.Print_Titles" localSheetId="6">'Table B.13 - Post-Support'!$1:$1</definedName>
    <definedName name="_xlnm.Print_Titles" localSheetId="7">'Table B.14 - Dispatch'!$1:$1</definedName>
    <definedName name="_xlnm.Print_Titles" localSheetId="8">'Table B.15b - User Radios'!$1:$1</definedName>
    <definedName name="_xlnm.Print_Titles" localSheetId="1">'Table B.8 - WC System'!$A:$A,'Table B.8 - WC System'!$1:$4</definedName>
    <definedName name="_xlnm.Print_Titles" localSheetId="2">'Table B.9 - WC Spares'!$1:$4</definedName>
    <definedName name="Z_2CCC7B39_935D_435C_BB32_70CB41003C82_.wvu.FilterData" localSheetId="3" hidden="1">'Table B.10 - WC Services'!$A$31:$A$51</definedName>
    <definedName name="Z_2CCC7B39_935D_435C_BB32_70CB41003C82_.wvu.PrintArea" localSheetId="3" hidden="1">'Table B.10 - WC Services'!$A$1:$B$51</definedName>
    <definedName name="Z_2CCC7B39_935D_435C_BB32_70CB41003C82_.wvu.PrintArea" localSheetId="1" hidden="1">'Table B.8 - WC System'!$A$1:$BT$78</definedName>
    <definedName name="Z_2CCC7B39_935D_435C_BB32_70CB41003C82_.wvu.PrintTitles" localSheetId="0" hidden="1">'Table B.1 - Total Washoe Cost'!$1:$1</definedName>
    <definedName name="Z_2CCC7B39_935D_435C_BB32_70CB41003C82_.wvu.PrintTitles" localSheetId="4" hidden="1">'Table B.11 - Greenfield Sites-D'!$1:$1</definedName>
    <definedName name="Z_2CCC7B39_935D_435C_BB32_70CB41003C82_.wvu.PrintTitles" localSheetId="5" hidden="1">'Table B.12 - Lifecyle Support'!$1:$1</definedName>
    <definedName name="Z_2CCC7B39_935D_435C_BB32_70CB41003C82_.wvu.PrintTitles" localSheetId="6" hidden="1">'Table B.13 - Post-Support'!$1:$1</definedName>
    <definedName name="Z_2CCC7B39_935D_435C_BB32_70CB41003C82_.wvu.PrintTitles" localSheetId="7" hidden="1">'Table B.14 - Dispatch'!$1:$1</definedName>
    <definedName name="Z_2CCC7B39_935D_435C_BB32_70CB41003C82_.wvu.PrintTitles" localSheetId="8" hidden="1">'Table B.15b - User Radios'!$1:$1</definedName>
    <definedName name="Z_2CCC7B39_935D_435C_BB32_70CB41003C82_.wvu.PrintTitles" localSheetId="1" hidden="1">'Table B.8 - WC System'!$A:$A</definedName>
    <definedName name="Z_2CCC7B39_935D_435C_BB32_70CB41003C82_.wvu.PrintTitles" localSheetId="2" hidden="1">'Table B.9 - WC Spares'!$1:$4</definedName>
    <definedName name="Z_9C902D8C_99B9_4A37_8078_0EB8BCE2A547_.wvu.FilterData" localSheetId="3" hidden="1">'Table B.10 - WC Services'!$A$31:$A$51</definedName>
    <definedName name="Z_9C902D8C_99B9_4A37_8078_0EB8BCE2A547_.wvu.PrintArea" localSheetId="3" hidden="1">'Table B.10 - WC Services'!$A$1:$B$51</definedName>
    <definedName name="Z_9C902D8C_99B9_4A37_8078_0EB8BCE2A547_.wvu.PrintArea" localSheetId="1" hidden="1">'Table B.8 - WC System'!$A$1:$BT$78</definedName>
    <definedName name="Z_9C902D8C_99B9_4A37_8078_0EB8BCE2A547_.wvu.PrintTitles" localSheetId="0" hidden="1">'Table B.1 - Total Washoe Cost'!$1:$1</definedName>
    <definedName name="Z_9C902D8C_99B9_4A37_8078_0EB8BCE2A547_.wvu.PrintTitles" localSheetId="4" hidden="1">'Table B.11 - Greenfield Sites-D'!$1:$1</definedName>
    <definedName name="Z_9C902D8C_99B9_4A37_8078_0EB8BCE2A547_.wvu.PrintTitles" localSheetId="5" hidden="1">'Table B.12 - Lifecyle Support'!$1:$1</definedName>
    <definedName name="Z_9C902D8C_99B9_4A37_8078_0EB8BCE2A547_.wvu.PrintTitles" localSheetId="6" hidden="1">'Table B.13 - Post-Support'!$1:$1</definedName>
    <definedName name="Z_9C902D8C_99B9_4A37_8078_0EB8BCE2A547_.wvu.PrintTitles" localSheetId="7" hidden="1">'Table B.14 - Dispatch'!$1:$1</definedName>
    <definedName name="Z_9C902D8C_99B9_4A37_8078_0EB8BCE2A547_.wvu.PrintTitles" localSheetId="8" hidden="1">'Table B.15b - User Radios'!$1:$1</definedName>
    <definedName name="Z_9C902D8C_99B9_4A37_8078_0EB8BCE2A547_.wvu.PrintTitles" localSheetId="1" hidden="1">'Table B.8 - WC System'!$A:$A</definedName>
    <definedName name="Z_9C902D8C_99B9_4A37_8078_0EB8BCE2A547_.wvu.PrintTitles" localSheetId="2" hidden="1">'Table B.9 - WC Spares'!$1:$4</definedName>
    <definedName name="Z_EFF273BD_F73A_4BFF_8940_4E7CE3C7328B_.wvu.FilterData" localSheetId="3" hidden="1">'Table B.10 - WC Services'!$A$31:$A$51</definedName>
    <definedName name="Z_EFF273BD_F73A_4BFF_8940_4E7CE3C7328B_.wvu.PrintArea" localSheetId="3" hidden="1">'Table B.10 - WC Services'!$A$1:$B$51</definedName>
    <definedName name="Z_EFF273BD_F73A_4BFF_8940_4E7CE3C7328B_.wvu.PrintArea" localSheetId="1" hidden="1">'Table B.8 - WC System'!$A$1:$BT$78</definedName>
    <definedName name="Z_EFF273BD_F73A_4BFF_8940_4E7CE3C7328B_.wvu.PrintTitles" localSheetId="0" hidden="1">'Table B.1 - Total Washoe Cost'!$1:$1</definedName>
    <definedName name="Z_EFF273BD_F73A_4BFF_8940_4E7CE3C7328B_.wvu.PrintTitles" localSheetId="4" hidden="1">'Table B.11 - Greenfield Sites-D'!$1:$1</definedName>
    <definedName name="Z_EFF273BD_F73A_4BFF_8940_4E7CE3C7328B_.wvu.PrintTitles" localSheetId="5" hidden="1">'Table B.12 - Lifecyle Support'!$1:$1</definedName>
    <definedName name="Z_EFF273BD_F73A_4BFF_8940_4E7CE3C7328B_.wvu.PrintTitles" localSheetId="6" hidden="1">'Table B.13 - Post-Support'!$1:$1</definedName>
    <definedName name="Z_EFF273BD_F73A_4BFF_8940_4E7CE3C7328B_.wvu.PrintTitles" localSheetId="7" hidden="1">'Table B.14 - Dispatch'!$1:$1</definedName>
    <definedName name="Z_EFF273BD_F73A_4BFF_8940_4E7CE3C7328B_.wvu.PrintTitles" localSheetId="8" hidden="1">'Table B.15b - User Radios'!$1:$1</definedName>
    <definedName name="Z_EFF273BD_F73A_4BFF_8940_4E7CE3C7328B_.wvu.PrintTitles" localSheetId="1" hidden="1">'Table B.8 - WC System'!$A:$A</definedName>
    <definedName name="Z_EFF273BD_F73A_4BFF_8940_4E7CE3C7328B_.wvu.PrintTitles" localSheetId="2" hidden="1">'Table B.9 - WC Spares'!$1:$4</definedName>
  </definedNames>
  <calcPr calcId="191028"/>
  <customWorkbookViews>
    <customWorkbookView name="Rajit Jhaver - Personal View" guid="{2CCC7B39-935D-435C-BB32-70CB41003C82}" mergeInterval="0" personalView="1" maximized="1" xWindow="-9" yWindow="-9" windowWidth="1298" windowHeight="930" tabRatio="780" activeSheetId="3"/>
    <customWorkbookView name="Luis Camarillo - Personal View" guid="{9C902D8C-99B9-4A37-8078-0EB8BCE2A547}" mergeInterval="0" personalView="1" maximized="1" xWindow="-8" yWindow="-8" windowWidth="1382" windowHeight="744" tabRatio="780" activeSheetId="2"/>
    <customWorkbookView name="Richard Martin - Personal View" guid="{EFF273BD-F73A-4BFF-8940-4E7CE3C7328B}" mergeInterval="0" personalView="1" maximized="1" xWindow="-11" yWindow="-11" windowWidth="1942" windowHeight="1102" tabRatio="78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82" i="23" l="1"/>
  <c r="G22" i="27" l="1"/>
  <c r="G21" i="27"/>
  <c r="B23" i="1" l="1"/>
  <c r="BY6" i="23"/>
  <c r="CA6" i="23" s="1"/>
  <c r="BY7" i="23"/>
  <c r="CA7" i="23"/>
  <c r="BY8" i="23"/>
  <c r="CA8" i="23" s="1"/>
  <c r="BY9" i="23"/>
  <c r="CA9" i="23" s="1"/>
  <c r="BY10" i="23"/>
  <c r="CA10" i="23" s="1"/>
  <c r="BY11" i="23"/>
  <c r="CA11" i="23" s="1"/>
  <c r="BY12" i="23"/>
  <c r="CA12" i="23" s="1"/>
  <c r="BY13" i="23"/>
  <c r="CA13" i="23" s="1"/>
  <c r="BY14" i="23"/>
  <c r="CA14" i="23" s="1"/>
  <c r="BY17" i="23"/>
  <c r="CA17" i="23" s="1"/>
  <c r="BY18" i="23"/>
  <c r="CA18" i="23"/>
  <c r="BY19" i="23"/>
  <c r="CA19" i="23" s="1"/>
  <c r="BY20" i="23"/>
  <c r="CA20" i="23"/>
  <c r="BY21" i="23"/>
  <c r="CA21" i="23" s="1"/>
  <c r="BY24" i="23"/>
  <c r="CA24" i="23" s="1"/>
  <c r="BY25" i="23"/>
  <c r="CA25" i="23" s="1"/>
  <c r="BY26" i="23"/>
  <c r="CA26" i="23"/>
  <c r="BY27" i="23"/>
  <c r="CA27" i="23" s="1"/>
  <c r="BY28" i="23"/>
  <c r="CA28" i="23" s="1"/>
  <c r="BY29" i="23"/>
  <c r="CA29" i="23" s="1"/>
  <c r="BY30" i="23"/>
  <c r="CA30" i="23" s="1"/>
  <c r="BY33" i="23"/>
  <c r="CA33" i="23"/>
  <c r="BY34" i="23"/>
  <c r="CA34" i="23" s="1"/>
  <c r="BY35" i="23"/>
  <c r="CA35" i="23"/>
  <c r="BY36" i="23"/>
  <c r="CA36" i="23" s="1"/>
  <c r="BY37" i="23"/>
  <c r="CA37" i="23"/>
  <c r="BY38" i="23"/>
  <c r="CA38" i="23"/>
  <c r="BY39" i="23"/>
  <c r="CA39" i="23"/>
  <c r="BY40" i="23"/>
  <c r="CA40" i="23" s="1"/>
  <c r="BY41" i="23"/>
  <c r="CA41" i="23" s="1"/>
  <c r="BY42" i="23"/>
  <c r="CA42" i="23"/>
  <c r="BY43" i="23"/>
  <c r="CA43" i="23" s="1"/>
  <c r="BY44" i="23"/>
  <c r="CA44" i="23" s="1"/>
  <c r="BY45" i="23"/>
  <c r="CA45" i="23"/>
  <c r="BY46" i="23"/>
  <c r="CA46" i="23"/>
  <c r="BY47" i="23"/>
  <c r="CA47" i="23"/>
  <c r="BY48" i="23"/>
  <c r="CA48" i="23" s="1"/>
  <c r="BY50" i="23"/>
  <c r="CA50" i="23" s="1"/>
  <c r="BY53" i="23"/>
  <c r="CA53" i="23" s="1"/>
  <c r="BY54" i="23"/>
  <c r="CA54" i="23"/>
  <c r="BY55" i="23"/>
  <c r="CA55" i="23" s="1"/>
  <c r="BY56" i="23"/>
  <c r="CA56" i="23" s="1"/>
  <c r="BY57" i="23"/>
  <c r="CA57" i="23" s="1"/>
  <c r="BY58" i="23"/>
  <c r="CA58" i="23" s="1"/>
  <c r="BY59" i="23"/>
  <c r="CA59" i="23" s="1"/>
  <c r="BW62" i="23"/>
  <c r="BY62" i="23"/>
  <c r="CA62" i="23" s="1"/>
  <c r="BW63" i="23"/>
  <c r="BY63" i="23"/>
  <c r="CA63" i="23" s="1"/>
  <c r="BY64" i="23"/>
  <c r="CA64" i="23" s="1"/>
  <c r="BW65" i="23"/>
  <c r="BY65" i="23"/>
  <c r="CA65" i="23" s="1"/>
  <c r="BY66" i="23"/>
  <c r="CA66" i="23"/>
  <c r="BW67" i="23"/>
  <c r="BY67" i="23" s="1"/>
  <c r="CA67" i="23" s="1"/>
  <c r="BY68" i="23"/>
  <c r="CA68" i="23" s="1"/>
  <c r="BY69" i="23"/>
  <c r="CA69" i="23" s="1"/>
  <c r="BV69" i="23" s="1"/>
  <c r="BY70" i="23"/>
  <c r="CA70" i="23" s="1"/>
  <c r="BY73" i="23"/>
  <c r="CA73" i="23" s="1"/>
  <c r="BY74" i="23"/>
  <c r="CA74" i="23" s="1"/>
  <c r="BY75" i="23"/>
  <c r="CA75" i="23" s="1"/>
  <c r="CD6" i="23"/>
  <c r="CF6" i="23" s="1"/>
  <c r="CD7" i="23"/>
  <c r="CF7" i="23" s="1"/>
  <c r="CD8" i="23"/>
  <c r="CF8" i="23" s="1"/>
  <c r="CD9" i="23"/>
  <c r="CF9" i="23" s="1"/>
  <c r="CD10" i="23"/>
  <c r="CF10" i="23" s="1"/>
  <c r="CD11" i="23"/>
  <c r="CF11" i="23" s="1"/>
  <c r="CD12" i="23"/>
  <c r="CF12" i="23" s="1"/>
  <c r="CD13" i="23"/>
  <c r="CF13" i="23" s="1"/>
  <c r="CD14" i="23"/>
  <c r="CF14" i="23" s="1"/>
  <c r="CD17" i="23"/>
  <c r="CF17" i="23" s="1"/>
  <c r="CD18" i="23"/>
  <c r="CF18" i="23" s="1"/>
  <c r="CD19" i="23"/>
  <c r="CF19" i="23" s="1"/>
  <c r="CD20" i="23"/>
  <c r="CF20" i="23" s="1"/>
  <c r="CD21" i="23"/>
  <c r="CF21" i="23"/>
  <c r="CD24" i="23"/>
  <c r="CF24" i="23"/>
  <c r="CD25" i="23"/>
  <c r="CF25" i="23" s="1"/>
  <c r="CD26" i="23"/>
  <c r="CF26" i="23" s="1"/>
  <c r="CD27" i="23"/>
  <c r="CF27" i="23" s="1"/>
  <c r="CD28" i="23"/>
  <c r="CF28" i="23"/>
  <c r="CD29" i="23"/>
  <c r="CF29" i="23" s="1"/>
  <c r="CD30" i="23"/>
  <c r="CF30" i="23" s="1"/>
  <c r="CD33" i="23"/>
  <c r="CF33" i="23"/>
  <c r="CD34" i="23"/>
  <c r="CF34" i="23" s="1"/>
  <c r="CD35" i="23"/>
  <c r="CF35" i="23" s="1"/>
  <c r="CD36" i="23"/>
  <c r="CF36" i="23"/>
  <c r="CD37" i="23"/>
  <c r="CF37" i="23"/>
  <c r="CD38" i="23"/>
  <c r="CF38" i="23" s="1"/>
  <c r="CD39" i="23"/>
  <c r="CF39" i="23" s="1"/>
  <c r="CD40" i="23"/>
  <c r="CF40" i="23"/>
  <c r="CD41" i="23"/>
  <c r="CF41" i="23" s="1"/>
  <c r="CD42" i="23"/>
  <c r="CF42" i="23" s="1"/>
  <c r="CD43" i="23"/>
  <c r="CF43" i="23"/>
  <c r="CD44" i="23"/>
  <c r="CF44" i="23" s="1"/>
  <c r="CD45" i="23"/>
  <c r="CF45" i="23"/>
  <c r="CD46" i="23"/>
  <c r="CF46" i="23" s="1"/>
  <c r="CD47" i="23"/>
  <c r="CF47" i="23"/>
  <c r="CD48" i="23"/>
  <c r="CF48" i="23" s="1"/>
  <c r="CD50" i="23"/>
  <c r="CF50" i="23"/>
  <c r="CD53" i="23"/>
  <c r="CF53" i="23" s="1"/>
  <c r="CD54" i="23"/>
  <c r="CF54" i="23" s="1"/>
  <c r="CD55" i="23"/>
  <c r="CF55" i="23" s="1"/>
  <c r="CD56" i="23"/>
  <c r="CF56" i="23"/>
  <c r="CD57" i="23"/>
  <c r="CF57" i="23" s="1"/>
  <c r="CD58" i="23"/>
  <c r="CF58" i="23" s="1"/>
  <c r="CD59" i="23"/>
  <c r="CF59" i="23" s="1"/>
  <c r="CB62" i="23"/>
  <c r="CD62" i="23" s="1"/>
  <c r="CF62" i="23" s="1"/>
  <c r="CB63" i="23"/>
  <c r="CD63" i="23" s="1"/>
  <c r="CF63" i="23" s="1"/>
  <c r="CD64" i="23"/>
  <c r="CF64" i="23"/>
  <c r="CB65" i="23"/>
  <c r="CD65" i="23" s="1"/>
  <c r="CF65" i="23" s="1"/>
  <c r="CD66" i="23"/>
  <c r="CF66" i="23" s="1"/>
  <c r="CB67" i="23"/>
  <c r="CD67" i="23" s="1"/>
  <c r="CF67" i="23" s="1"/>
  <c r="CD68" i="23"/>
  <c r="CF68" i="23" s="1"/>
  <c r="CD69" i="23"/>
  <c r="CF69" i="23" s="1"/>
  <c r="CD70" i="23"/>
  <c r="CF70" i="23"/>
  <c r="CD73" i="23"/>
  <c r="CF73" i="23" s="1"/>
  <c r="CD74" i="23"/>
  <c r="CF74" i="23" s="1"/>
  <c r="CD75" i="23"/>
  <c r="CF75" i="23" s="1"/>
  <c r="CI6" i="23"/>
  <c r="CK6" i="23" s="1"/>
  <c r="CI7" i="23"/>
  <c r="CK7" i="23"/>
  <c r="CI8" i="23"/>
  <c r="CK8" i="23"/>
  <c r="CI9" i="23"/>
  <c r="CK9" i="23"/>
  <c r="CI10" i="23"/>
  <c r="CK10" i="23" s="1"/>
  <c r="CI11" i="23"/>
  <c r="CK11" i="23" s="1"/>
  <c r="CI12" i="23"/>
  <c r="CK12" i="23"/>
  <c r="CI13" i="23"/>
  <c r="CK13" i="23" s="1"/>
  <c r="CI14" i="23"/>
  <c r="CK14" i="23" s="1"/>
  <c r="CI17" i="23"/>
  <c r="CK17" i="23" s="1"/>
  <c r="CI18" i="23"/>
  <c r="CK18" i="23" s="1"/>
  <c r="CI19" i="23"/>
  <c r="CK19" i="23"/>
  <c r="CI20" i="23"/>
  <c r="CK20" i="23"/>
  <c r="CI21" i="23"/>
  <c r="CK21" i="23" s="1"/>
  <c r="CI24" i="23"/>
  <c r="CK24" i="23"/>
  <c r="CI25" i="23"/>
  <c r="CK25" i="23" s="1"/>
  <c r="CI26" i="23"/>
  <c r="CK26" i="23"/>
  <c r="BV26" i="23" s="1"/>
  <c r="CI27" i="23"/>
  <c r="CK27" i="23"/>
  <c r="CI28" i="23"/>
  <c r="CK28" i="23"/>
  <c r="CI29" i="23"/>
  <c r="CK29" i="23" s="1"/>
  <c r="CI30" i="23"/>
  <c r="CK30" i="23" s="1"/>
  <c r="CI33" i="23"/>
  <c r="CK33" i="23" s="1"/>
  <c r="CI34" i="23"/>
  <c r="CK34" i="23" s="1"/>
  <c r="BV34" i="23" s="1"/>
  <c r="CI35" i="23"/>
  <c r="CK35" i="23"/>
  <c r="CI36" i="23"/>
  <c r="CK36" i="23" s="1"/>
  <c r="CI37" i="23"/>
  <c r="CK37" i="23" s="1"/>
  <c r="CI38" i="23"/>
  <c r="CK38" i="23"/>
  <c r="CI39" i="23"/>
  <c r="CK39" i="23" s="1"/>
  <c r="CI40" i="23"/>
  <c r="CK40" i="23" s="1"/>
  <c r="CI41" i="23"/>
  <c r="CK41" i="23" s="1"/>
  <c r="CI42" i="23"/>
  <c r="CK42" i="23"/>
  <c r="CI43" i="23"/>
  <c r="CK43" i="23"/>
  <c r="CI44" i="23"/>
  <c r="CK44" i="23" s="1"/>
  <c r="CI45" i="23"/>
  <c r="CK45" i="23" s="1"/>
  <c r="CI46" i="23"/>
  <c r="CK46" i="23" s="1"/>
  <c r="CI47" i="23"/>
  <c r="CK47" i="23"/>
  <c r="CI48" i="23"/>
  <c r="CK48" i="23" s="1"/>
  <c r="CI50" i="23"/>
  <c r="CK50" i="23" s="1"/>
  <c r="CI53" i="23"/>
  <c r="CK53" i="23" s="1"/>
  <c r="CI54" i="23"/>
  <c r="CK54" i="23" s="1"/>
  <c r="CI55" i="23"/>
  <c r="CK55" i="23"/>
  <c r="CI56" i="23"/>
  <c r="CK56" i="23" s="1"/>
  <c r="CI57" i="23"/>
  <c r="CK57" i="23" s="1"/>
  <c r="CI58" i="23"/>
  <c r="CK58" i="23"/>
  <c r="CI59" i="23"/>
  <c r="CK59" i="23" s="1"/>
  <c r="CG62" i="23"/>
  <c r="CI62" i="23"/>
  <c r="CK62" i="23" s="1"/>
  <c r="CG63" i="23"/>
  <c r="CI63" i="23"/>
  <c r="CK63" i="23" s="1"/>
  <c r="CI64" i="23"/>
  <c r="CK64" i="23" s="1"/>
  <c r="CG65" i="23"/>
  <c r="CI65" i="23" s="1"/>
  <c r="CK65" i="23" s="1"/>
  <c r="CI66" i="23"/>
  <c r="CK66" i="23"/>
  <c r="CG67" i="23"/>
  <c r="CI67" i="23" s="1"/>
  <c r="CK67" i="23" s="1"/>
  <c r="BV67" i="23" s="1"/>
  <c r="CI68" i="23"/>
  <c r="CK68" i="23"/>
  <c r="CI69" i="23"/>
  <c r="CK69" i="23" s="1"/>
  <c r="CI70" i="23"/>
  <c r="CK70" i="23" s="1"/>
  <c r="CI73" i="23"/>
  <c r="CK73" i="23"/>
  <c r="CI74" i="23"/>
  <c r="CK74" i="23" s="1"/>
  <c r="CI75" i="23"/>
  <c r="CK75" i="23" s="1"/>
  <c r="CN6" i="23"/>
  <c r="CP6" i="23" s="1"/>
  <c r="CN7" i="23"/>
  <c r="CP7" i="23"/>
  <c r="CN8" i="23"/>
  <c r="CP8" i="23" s="1"/>
  <c r="CN9" i="23"/>
  <c r="CP9" i="23" s="1"/>
  <c r="CN10" i="23"/>
  <c r="CP10" i="23"/>
  <c r="CN11" i="23"/>
  <c r="CP11" i="23" s="1"/>
  <c r="CN12" i="23"/>
  <c r="CP12" i="23" s="1"/>
  <c r="CN13" i="23"/>
  <c r="CP13" i="23" s="1"/>
  <c r="CN14" i="23"/>
  <c r="CP14" i="23" s="1"/>
  <c r="CN17" i="23"/>
  <c r="CP17" i="23"/>
  <c r="CN18" i="23"/>
  <c r="CP18" i="23" s="1"/>
  <c r="CN19" i="23"/>
  <c r="CP19" i="23"/>
  <c r="CN20" i="23"/>
  <c r="CP20" i="23" s="1"/>
  <c r="CN21" i="23"/>
  <c r="CP21" i="23"/>
  <c r="CN24" i="23"/>
  <c r="CP24" i="23" s="1"/>
  <c r="CN25" i="23"/>
  <c r="CP25" i="23" s="1"/>
  <c r="CN26" i="23"/>
  <c r="CP26" i="23"/>
  <c r="CN27" i="23"/>
  <c r="CP27" i="23" s="1"/>
  <c r="CN28" i="23"/>
  <c r="CP28" i="23" s="1"/>
  <c r="CN29" i="23"/>
  <c r="CP29" i="23"/>
  <c r="CN30" i="23"/>
  <c r="CP30" i="23" s="1"/>
  <c r="CN33" i="23"/>
  <c r="CP33" i="23"/>
  <c r="CN34" i="23"/>
  <c r="CP34" i="23" s="1"/>
  <c r="CN35" i="23"/>
  <c r="CP35" i="23" s="1"/>
  <c r="CN36" i="23"/>
  <c r="CP36" i="23" s="1"/>
  <c r="CN37" i="23"/>
  <c r="CP37" i="23"/>
  <c r="CN38" i="23"/>
  <c r="CP38" i="23"/>
  <c r="CN39" i="23"/>
  <c r="CP39" i="23" s="1"/>
  <c r="CN40" i="23"/>
  <c r="CP40" i="23" s="1"/>
  <c r="CN41" i="23"/>
  <c r="CP41" i="23" s="1"/>
  <c r="CN42" i="23"/>
  <c r="CP42" i="23"/>
  <c r="CN43" i="23"/>
  <c r="CP43" i="23" s="1"/>
  <c r="CN44" i="23"/>
  <c r="CP44" i="23"/>
  <c r="CN45" i="23"/>
  <c r="CP45" i="23" s="1"/>
  <c r="CN46" i="23"/>
  <c r="CP46" i="23"/>
  <c r="CN47" i="23"/>
  <c r="CP47" i="23" s="1"/>
  <c r="CN48" i="23"/>
  <c r="CP48" i="23" s="1"/>
  <c r="CN50" i="23"/>
  <c r="CP50" i="23"/>
  <c r="CN53" i="23"/>
  <c r="CP53" i="23" s="1"/>
  <c r="CN54" i="23"/>
  <c r="CP54" i="23"/>
  <c r="CN55" i="23"/>
  <c r="CP55" i="23" s="1"/>
  <c r="CN56" i="23"/>
  <c r="CP56" i="23" s="1"/>
  <c r="CN57" i="23"/>
  <c r="CP57" i="23" s="1"/>
  <c r="CN58" i="23"/>
  <c r="CP58" i="23" s="1"/>
  <c r="CN59" i="23"/>
  <c r="CP59" i="23" s="1"/>
  <c r="CL62" i="23"/>
  <c r="CN62" i="23"/>
  <c r="CP62" i="23" s="1"/>
  <c r="CL63" i="23"/>
  <c r="CN63" i="23" s="1"/>
  <c r="CP63" i="23"/>
  <c r="CN64" i="23"/>
  <c r="CP64" i="23"/>
  <c r="CL65" i="23"/>
  <c r="CN65" i="23"/>
  <c r="CP65" i="23" s="1"/>
  <c r="CN66" i="23"/>
  <c r="CP66" i="23"/>
  <c r="CL67" i="23"/>
  <c r="CN67" i="23" s="1"/>
  <c r="CP67" i="23" s="1"/>
  <c r="CN68" i="23"/>
  <c r="CP68" i="23"/>
  <c r="CN69" i="23"/>
  <c r="CP69" i="23" s="1"/>
  <c r="CN70" i="23"/>
  <c r="CP70" i="23" s="1"/>
  <c r="CN73" i="23"/>
  <c r="CP73" i="23" s="1"/>
  <c r="CN74" i="23"/>
  <c r="CP74" i="23"/>
  <c r="CN75" i="23"/>
  <c r="CP75" i="23"/>
  <c r="CS6" i="23"/>
  <c r="CU6" i="23"/>
  <c r="CS7" i="23"/>
  <c r="CU7" i="23" s="1"/>
  <c r="CS8" i="23"/>
  <c r="CU8" i="23" s="1"/>
  <c r="CS9" i="23"/>
  <c r="CU9" i="23" s="1"/>
  <c r="CS10" i="23"/>
  <c r="CU10" i="23"/>
  <c r="CS11" i="23"/>
  <c r="CU11" i="23" s="1"/>
  <c r="CS12" i="23"/>
  <c r="CU12" i="23"/>
  <c r="CS13" i="23"/>
  <c r="CU13" i="23" s="1"/>
  <c r="CS14" i="23"/>
  <c r="CU14" i="23"/>
  <c r="CS17" i="23"/>
  <c r="CU17" i="23"/>
  <c r="CS18" i="23"/>
  <c r="CU18" i="23" s="1"/>
  <c r="CS19" i="23"/>
  <c r="CU19" i="23" s="1"/>
  <c r="CS20" i="23"/>
  <c r="CU20" i="23" s="1"/>
  <c r="CS21" i="23"/>
  <c r="CU21" i="23"/>
  <c r="CS24" i="23"/>
  <c r="CU24" i="23"/>
  <c r="CS25" i="23"/>
  <c r="CU25" i="23"/>
  <c r="CS26" i="23"/>
  <c r="CU26" i="23" s="1"/>
  <c r="CS27" i="23"/>
  <c r="CU27" i="23" s="1"/>
  <c r="CS28" i="23"/>
  <c r="CU28" i="23"/>
  <c r="CS29" i="23"/>
  <c r="CU29" i="23" s="1"/>
  <c r="CS30" i="23"/>
  <c r="CU30" i="23" s="1"/>
  <c r="CS33" i="23"/>
  <c r="CU33" i="23" s="1"/>
  <c r="CS34" i="23"/>
  <c r="CU34" i="23" s="1"/>
  <c r="CS35" i="23"/>
  <c r="CU35" i="23"/>
  <c r="CS36" i="23"/>
  <c r="CU36" i="23"/>
  <c r="CS37" i="23"/>
  <c r="CU37" i="23" s="1"/>
  <c r="CS38" i="23"/>
  <c r="CU38" i="23" s="1"/>
  <c r="CS39" i="23"/>
  <c r="CU39" i="23"/>
  <c r="CQ40" i="23"/>
  <c r="CS40" i="23"/>
  <c r="CU40" i="23"/>
  <c r="CS41" i="23"/>
  <c r="CU41" i="23" s="1"/>
  <c r="CS42" i="23"/>
  <c r="CU42" i="23" s="1"/>
  <c r="CS43" i="23"/>
  <c r="CU43" i="23" s="1"/>
  <c r="CS44" i="23"/>
  <c r="CU44" i="23"/>
  <c r="CS45" i="23"/>
  <c r="CU45" i="23"/>
  <c r="CS46" i="23"/>
  <c r="CU46" i="23"/>
  <c r="CS47" i="23"/>
  <c r="CU47" i="23" s="1"/>
  <c r="CS48" i="23"/>
  <c r="CU48" i="23" s="1"/>
  <c r="CS50" i="23"/>
  <c r="CU50" i="23"/>
  <c r="CS53" i="23"/>
  <c r="CU53" i="23" s="1"/>
  <c r="CS54" i="23"/>
  <c r="CU54" i="23" s="1"/>
  <c r="CS55" i="23"/>
  <c r="CU55" i="23" s="1"/>
  <c r="CS56" i="23"/>
  <c r="CU56" i="23" s="1"/>
  <c r="CS57" i="23"/>
  <c r="CU57" i="23"/>
  <c r="CS58" i="23"/>
  <c r="CU58" i="23" s="1"/>
  <c r="CS59" i="23"/>
  <c r="CU59" i="23" s="1"/>
  <c r="CQ62" i="23"/>
  <c r="CS62" i="23" s="1"/>
  <c r="CU62" i="23" s="1"/>
  <c r="CQ63" i="23"/>
  <c r="CS63" i="23"/>
  <c r="CU63" i="23"/>
  <c r="CS64" i="23"/>
  <c r="CU64" i="23"/>
  <c r="CQ65" i="23"/>
  <c r="CS65" i="23"/>
  <c r="CU65" i="23" s="1"/>
  <c r="CS66" i="23"/>
  <c r="CU66" i="23"/>
  <c r="CQ67" i="23"/>
  <c r="CS67" i="23" s="1"/>
  <c r="CU67" i="23" s="1"/>
  <c r="CS68" i="23"/>
  <c r="CU68" i="23"/>
  <c r="CS69" i="23"/>
  <c r="CU69" i="23" s="1"/>
  <c r="CS70" i="23"/>
  <c r="CU70" i="23" s="1"/>
  <c r="CS73" i="23"/>
  <c r="CU73" i="23" s="1"/>
  <c r="CS74" i="23"/>
  <c r="CU74" i="23"/>
  <c r="CS75" i="23"/>
  <c r="CU75" i="23"/>
  <c r="E18" i="23"/>
  <c r="G18" i="23" s="1"/>
  <c r="B18" i="23" s="1"/>
  <c r="A21" i="23" s="1"/>
  <c r="J18" i="23"/>
  <c r="L18" i="23" s="1"/>
  <c r="O18" i="23"/>
  <c r="Q18" i="23"/>
  <c r="T18" i="23"/>
  <c r="V18" i="23" s="1"/>
  <c r="Y18" i="23"/>
  <c r="AA18" i="23" s="1"/>
  <c r="AD18" i="23"/>
  <c r="AF18" i="23"/>
  <c r="AF22" i="23" s="1"/>
  <c r="AI18" i="23"/>
  <c r="AK18" i="23"/>
  <c r="AN18" i="23"/>
  <c r="AP18" i="23"/>
  <c r="AS18" i="23"/>
  <c r="AU18" i="23" s="1"/>
  <c r="AX18" i="23"/>
  <c r="AZ18" i="23" s="1"/>
  <c r="BC18" i="23"/>
  <c r="BE18" i="23" s="1"/>
  <c r="BH18" i="23"/>
  <c r="BJ18" i="23"/>
  <c r="BM18" i="23"/>
  <c r="BO18" i="23" s="1"/>
  <c r="BR18" i="23"/>
  <c r="BT18" i="23" s="1"/>
  <c r="E17" i="23"/>
  <c r="G17" i="23"/>
  <c r="J17" i="23"/>
  <c r="L17" i="23" s="1"/>
  <c r="O17" i="23"/>
  <c r="Q17" i="23" s="1"/>
  <c r="T17" i="23"/>
  <c r="V17" i="23"/>
  <c r="Y17" i="23"/>
  <c r="AA17" i="23" s="1"/>
  <c r="AD17" i="23"/>
  <c r="AF17" i="23" s="1"/>
  <c r="AI17" i="23"/>
  <c r="AK17" i="23" s="1"/>
  <c r="AN17" i="23"/>
  <c r="AP17" i="23" s="1"/>
  <c r="AS17" i="23"/>
  <c r="AU17" i="23"/>
  <c r="AX17" i="23"/>
  <c r="AZ17" i="23" s="1"/>
  <c r="BC17" i="23"/>
  <c r="BE17" i="23" s="1"/>
  <c r="BH17" i="23"/>
  <c r="BJ17" i="23"/>
  <c r="BM17" i="23"/>
  <c r="BO17" i="23" s="1"/>
  <c r="BR17" i="23"/>
  <c r="BT17" i="23" s="1"/>
  <c r="D52" i="27"/>
  <c r="D83" i="27"/>
  <c r="D80" i="27"/>
  <c r="D76" i="27"/>
  <c r="D77" i="27"/>
  <c r="D78" i="27"/>
  <c r="D79" i="27"/>
  <c r="D81" i="27"/>
  <c r="D82" i="27"/>
  <c r="D75" i="27"/>
  <c r="D74" i="27"/>
  <c r="F91" i="27"/>
  <c r="F89" i="27"/>
  <c r="D70" i="27"/>
  <c r="B25" i="27"/>
  <c r="B24" i="27"/>
  <c r="F90" i="27"/>
  <c r="D24" i="27"/>
  <c r="D25" i="27"/>
  <c r="F25" i="27" s="1"/>
  <c r="D12" i="16"/>
  <c r="F12" i="16" s="1"/>
  <c r="D13" i="16"/>
  <c r="F13" i="16" s="1"/>
  <c r="B65" i="15"/>
  <c r="B60" i="15"/>
  <c r="B55" i="15"/>
  <c r="B50" i="15"/>
  <c r="B45" i="15"/>
  <c r="B40" i="15"/>
  <c r="B35" i="15"/>
  <c r="B33" i="15"/>
  <c r="B34" i="1" s="1"/>
  <c r="BA67" i="23"/>
  <c r="BA65" i="23"/>
  <c r="BA63" i="23"/>
  <c r="BC63" i="23" s="1"/>
  <c r="BE63" i="23" s="1"/>
  <c r="BA62" i="23"/>
  <c r="AL67" i="23"/>
  <c r="AL65" i="23"/>
  <c r="AN65" i="23" s="1"/>
  <c r="AP65" i="23" s="1"/>
  <c r="AL63" i="23"/>
  <c r="AN63" i="23" s="1"/>
  <c r="AL62" i="23"/>
  <c r="AN62" i="23" s="1"/>
  <c r="AP62" i="23" s="1"/>
  <c r="AP71" i="23" s="1"/>
  <c r="AG67" i="23"/>
  <c r="AG65" i="23"/>
  <c r="AG63" i="23"/>
  <c r="AI63" i="23" s="1"/>
  <c r="AK63" i="23" s="1"/>
  <c r="AG62" i="23"/>
  <c r="AI62" i="23" s="1"/>
  <c r="AK62" i="23" s="1"/>
  <c r="E11" i="25"/>
  <c r="D18" i="27"/>
  <c r="D19" i="27"/>
  <c r="B29" i="27"/>
  <c r="D29" i="27" s="1"/>
  <c r="F29" i="27" s="1"/>
  <c r="D30" i="27"/>
  <c r="F30" i="27" s="1"/>
  <c r="E27" i="25"/>
  <c r="M69" i="23"/>
  <c r="O69" i="23" s="1"/>
  <c r="O68" i="23"/>
  <c r="O67" i="23"/>
  <c r="M66" i="23"/>
  <c r="O66" i="23" s="1"/>
  <c r="Q66" i="23" s="1"/>
  <c r="O65" i="23"/>
  <c r="Q65" i="23" s="1"/>
  <c r="O64" i="23"/>
  <c r="O63" i="23"/>
  <c r="O62" i="23"/>
  <c r="R69" i="23"/>
  <c r="T69" i="23" s="1"/>
  <c r="T68" i="23"/>
  <c r="T67" i="23"/>
  <c r="V67" i="23" s="1"/>
  <c r="R66" i="23"/>
  <c r="T66" i="23"/>
  <c r="V66" i="23" s="1"/>
  <c r="V71" i="23" s="1"/>
  <c r="T65" i="23"/>
  <c r="T64" i="23"/>
  <c r="T63" i="23"/>
  <c r="T62" i="23"/>
  <c r="W69" i="23"/>
  <c r="Y69" i="23"/>
  <c r="AA69" i="23" s="1"/>
  <c r="Y68" i="23"/>
  <c r="AA68" i="23" s="1"/>
  <c r="Y67" i="23"/>
  <c r="AA67" i="23" s="1"/>
  <c r="W66" i="23"/>
  <c r="Y66" i="23" s="1"/>
  <c r="Y65" i="23"/>
  <c r="AA65" i="23" s="1"/>
  <c r="Y64" i="23"/>
  <c r="Y63" i="23"/>
  <c r="Y62" i="23"/>
  <c r="AA62" i="23" s="1"/>
  <c r="AB69" i="23"/>
  <c r="AD69" i="23" s="1"/>
  <c r="AF69" i="23" s="1"/>
  <c r="AD68" i="23"/>
  <c r="AD67" i="23"/>
  <c r="AB66" i="23"/>
  <c r="AD66" i="23" s="1"/>
  <c r="AF66" i="23" s="1"/>
  <c r="AD65" i="23"/>
  <c r="AD64" i="23"/>
  <c r="AF64" i="23" s="1"/>
  <c r="AD63" i="23"/>
  <c r="AF63" i="23" s="1"/>
  <c r="AF71" i="23" s="1"/>
  <c r="AD62" i="23"/>
  <c r="AQ69" i="23"/>
  <c r="AS69" i="23" s="1"/>
  <c r="AS68" i="23"/>
  <c r="AS67" i="23"/>
  <c r="AQ66" i="23"/>
  <c r="AS66" i="23" s="1"/>
  <c r="AU66" i="23" s="1"/>
  <c r="AS65" i="23"/>
  <c r="AU65" i="23" s="1"/>
  <c r="AS64" i="23"/>
  <c r="AU64" i="23" s="1"/>
  <c r="AS63" i="23"/>
  <c r="AU63" i="23" s="1"/>
  <c r="AU71" i="23" s="1"/>
  <c r="AS62" i="23"/>
  <c r="AV69" i="23"/>
  <c r="AX69" i="23" s="1"/>
  <c r="AZ69" i="23" s="1"/>
  <c r="AX68" i="23"/>
  <c r="AX67" i="23"/>
  <c r="AZ67" i="23" s="1"/>
  <c r="AV66" i="23"/>
  <c r="AX66" i="23"/>
  <c r="AZ66" i="23" s="1"/>
  <c r="AX65" i="23"/>
  <c r="AZ65" i="23" s="1"/>
  <c r="AX64" i="23"/>
  <c r="AZ64" i="23" s="1"/>
  <c r="AZ71" i="23" s="1"/>
  <c r="AX63" i="23"/>
  <c r="AX62" i="23"/>
  <c r="BF69" i="23"/>
  <c r="BF66" i="23"/>
  <c r="BH66" i="23" s="1"/>
  <c r="BJ66" i="23" s="1"/>
  <c r="T38" i="23"/>
  <c r="AD49" i="23"/>
  <c r="AF49" i="23" s="1"/>
  <c r="B49" i="23" s="1"/>
  <c r="AN45" i="23"/>
  <c r="AP45" i="23" s="1"/>
  <c r="AN42" i="23"/>
  <c r="AP42" i="23" s="1"/>
  <c r="C7" i="23"/>
  <c r="E7" i="23" s="1"/>
  <c r="C6" i="23"/>
  <c r="BC47" i="23"/>
  <c r="BC46" i="23"/>
  <c r="AN46" i="23"/>
  <c r="AN47" i="23"/>
  <c r="AP47" i="23" s="1"/>
  <c r="AB40" i="23"/>
  <c r="AD40" i="23" s="1"/>
  <c r="AF40" i="23" s="1"/>
  <c r="W40" i="23"/>
  <c r="Y40" i="23" s="1"/>
  <c r="AA40" i="23" s="1"/>
  <c r="B49" i="25"/>
  <c r="B18" i="1" s="1"/>
  <c r="E19" i="25"/>
  <c r="E14" i="25"/>
  <c r="E13" i="25"/>
  <c r="E6" i="25"/>
  <c r="E4" i="25"/>
  <c r="E9" i="25" s="1"/>
  <c r="E51" i="24"/>
  <c r="G51" i="24"/>
  <c r="E50" i="24"/>
  <c r="G50" i="24" s="1"/>
  <c r="D28" i="27"/>
  <c r="D17" i="27"/>
  <c r="F17" i="27" s="1"/>
  <c r="D16" i="27"/>
  <c r="F16" i="27" s="1"/>
  <c r="D15" i="27"/>
  <c r="D14" i="27"/>
  <c r="D13" i="27"/>
  <c r="F13" i="27" s="1"/>
  <c r="BH73" i="23"/>
  <c r="BJ73" i="23" s="1"/>
  <c r="BC73" i="23"/>
  <c r="AX73" i="23"/>
  <c r="AS73" i="23"/>
  <c r="AN73" i="23"/>
  <c r="AP73" i="23" s="1"/>
  <c r="AI73" i="23"/>
  <c r="AD73" i="23"/>
  <c r="Y73" i="23"/>
  <c r="AA73" i="23" s="1"/>
  <c r="T73" i="23"/>
  <c r="V73" i="23" s="1"/>
  <c r="V76" i="23" s="1"/>
  <c r="O73" i="23"/>
  <c r="B6" i="25"/>
  <c r="B5" i="25"/>
  <c r="E5" i="25"/>
  <c r="J70" i="23"/>
  <c r="J69" i="23"/>
  <c r="L69" i="23"/>
  <c r="J68" i="23"/>
  <c r="L68" i="23" s="1"/>
  <c r="J67" i="23"/>
  <c r="L67" i="23" s="1"/>
  <c r="J66" i="23"/>
  <c r="L66" i="23" s="1"/>
  <c r="J65" i="23"/>
  <c r="L65" i="23" s="1"/>
  <c r="L71" i="23" s="1"/>
  <c r="J64" i="23"/>
  <c r="L64" i="23"/>
  <c r="J63" i="23"/>
  <c r="L63" i="23" s="1"/>
  <c r="J62" i="23"/>
  <c r="L62" i="23" s="1"/>
  <c r="E70" i="23"/>
  <c r="E69" i="23"/>
  <c r="E68" i="23"/>
  <c r="G68" i="23" s="1"/>
  <c r="E67" i="23"/>
  <c r="E66" i="23"/>
  <c r="G66" i="23" s="1"/>
  <c r="E65" i="23"/>
  <c r="G65" i="23" s="1"/>
  <c r="E64" i="23"/>
  <c r="G64" i="23" s="1"/>
  <c r="E63" i="23"/>
  <c r="E62" i="23"/>
  <c r="BR69" i="23"/>
  <c r="BT69" i="23" s="1"/>
  <c r="BR68" i="23"/>
  <c r="BT68" i="23" s="1"/>
  <c r="BR67" i="23"/>
  <c r="BT67" i="23" s="1"/>
  <c r="BR66" i="23"/>
  <c r="BT66" i="23" s="1"/>
  <c r="BR65" i="23"/>
  <c r="BT65" i="23" s="1"/>
  <c r="BR64" i="23"/>
  <c r="BT64" i="23" s="1"/>
  <c r="BR63" i="23"/>
  <c r="BT63" i="23" s="1"/>
  <c r="BR62" i="23"/>
  <c r="BT62" i="23" s="1"/>
  <c r="BT71" i="23" s="1"/>
  <c r="BM64" i="23"/>
  <c r="BO64" i="23" s="1"/>
  <c r="BM65" i="23"/>
  <c r="BO65" i="23" s="1"/>
  <c r="BM66" i="23"/>
  <c r="BO66" i="23"/>
  <c r="BM62" i="23"/>
  <c r="BO62" i="23" s="1"/>
  <c r="BM63" i="23"/>
  <c r="BO63" i="23" s="1"/>
  <c r="BM67" i="23"/>
  <c r="BO67" i="23" s="1"/>
  <c r="BM68" i="23"/>
  <c r="BO68" i="23" s="1"/>
  <c r="BM69" i="23"/>
  <c r="BO69" i="23"/>
  <c r="BH69" i="23"/>
  <c r="BJ69" i="23" s="1"/>
  <c r="BH68" i="23"/>
  <c r="BJ68" i="23" s="1"/>
  <c r="BH67" i="23"/>
  <c r="BJ67" i="23"/>
  <c r="BH65" i="23"/>
  <c r="BJ65" i="23" s="1"/>
  <c r="BH64" i="23"/>
  <c r="BJ64" i="23" s="1"/>
  <c r="BH63" i="23"/>
  <c r="BJ63" i="23"/>
  <c r="BH62" i="23"/>
  <c r="BJ62" i="23" s="1"/>
  <c r="BJ71" i="23" s="1"/>
  <c r="BC69" i="23"/>
  <c r="BE69" i="23" s="1"/>
  <c r="BC68" i="23"/>
  <c r="BE68" i="23" s="1"/>
  <c r="BC67" i="23"/>
  <c r="BE67" i="23" s="1"/>
  <c r="BC66" i="23"/>
  <c r="BE66" i="23"/>
  <c r="BC65" i="23"/>
  <c r="BE65" i="23" s="1"/>
  <c r="BC64" i="23"/>
  <c r="BE64" i="23" s="1"/>
  <c r="BC62" i="23"/>
  <c r="BE62" i="23" s="1"/>
  <c r="AZ68" i="23"/>
  <c r="AZ63" i="23"/>
  <c r="AZ62" i="23"/>
  <c r="AU69" i="23"/>
  <c r="AU68" i="23"/>
  <c r="AU67" i="23"/>
  <c r="AU62" i="23"/>
  <c r="AN69" i="23"/>
  <c r="AP69" i="23" s="1"/>
  <c r="AN68" i="23"/>
  <c r="AP68" i="23" s="1"/>
  <c r="AN67" i="23"/>
  <c r="AP67" i="23"/>
  <c r="AN66" i="23"/>
  <c r="AP66" i="23" s="1"/>
  <c r="AN64" i="23"/>
  <c r="AP64" i="23" s="1"/>
  <c r="AP63" i="23"/>
  <c r="AI69" i="23"/>
  <c r="AK69" i="23" s="1"/>
  <c r="AI68" i="23"/>
  <c r="AK68" i="23" s="1"/>
  <c r="AI67" i="23"/>
  <c r="AK67" i="23"/>
  <c r="AI66" i="23"/>
  <c r="AK66" i="23"/>
  <c r="AI65" i="23"/>
  <c r="AK65" i="23" s="1"/>
  <c r="AI64" i="23"/>
  <c r="AK64" i="23" s="1"/>
  <c r="AF68" i="23"/>
  <c r="AF67" i="23"/>
  <c r="AF65" i="23"/>
  <c r="AF62" i="23"/>
  <c r="AA66" i="23"/>
  <c r="AA64" i="23"/>
  <c r="AA71" i="23" s="1"/>
  <c r="AA63" i="23"/>
  <c r="V69" i="23"/>
  <c r="V68" i="23"/>
  <c r="V65" i="23"/>
  <c r="V64" i="23"/>
  <c r="V63" i="23"/>
  <c r="V62" i="23"/>
  <c r="Q69" i="23"/>
  <c r="Q68" i="23"/>
  <c r="Q67" i="23"/>
  <c r="Q64" i="23"/>
  <c r="Q63" i="23"/>
  <c r="B63" i="23" s="1"/>
  <c r="Q62" i="23"/>
  <c r="BH59" i="23"/>
  <c r="BH58" i="23"/>
  <c r="BC59" i="23"/>
  <c r="BE59" i="23" s="1"/>
  <c r="BC58" i="23"/>
  <c r="AX59" i="23"/>
  <c r="AX58" i="23"/>
  <c r="AS59" i="23"/>
  <c r="AU59" i="23" s="1"/>
  <c r="AS58" i="23"/>
  <c r="AN59" i="23"/>
  <c r="AP59" i="23" s="1"/>
  <c r="AP60" i="23" s="1"/>
  <c r="AN58" i="23"/>
  <c r="AI59" i="23"/>
  <c r="AK59" i="23" s="1"/>
  <c r="AI58" i="23"/>
  <c r="AD59" i="23"/>
  <c r="AD58" i="23"/>
  <c r="Y59" i="23"/>
  <c r="AA59" i="23" s="1"/>
  <c r="Y58" i="23"/>
  <c r="T59" i="23"/>
  <c r="V59" i="23" s="1"/>
  <c r="T58" i="23"/>
  <c r="BH55" i="23"/>
  <c r="BJ55" i="23" s="1"/>
  <c r="BC55" i="23"/>
  <c r="BE55" i="23" s="1"/>
  <c r="AX36" i="23"/>
  <c r="AX55" i="23"/>
  <c r="AZ55" i="23" s="1"/>
  <c r="AS55" i="23"/>
  <c r="AU55" i="23" s="1"/>
  <c r="AN55" i="23"/>
  <c r="AP55" i="23"/>
  <c r="AI55" i="23"/>
  <c r="AK55" i="23" s="1"/>
  <c r="AD55" i="23"/>
  <c r="AF55" i="23"/>
  <c r="Y55" i="23"/>
  <c r="AA55" i="23" s="1"/>
  <c r="T55" i="23"/>
  <c r="V55" i="23"/>
  <c r="O55" i="23"/>
  <c r="Q55" i="23" s="1"/>
  <c r="E8" i="23"/>
  <c r="G8" i="23" s="1"/>
  <c r="J8" i="23"/>
  <c r="L8" i="23" s="1"/>
  <c r="E9" i="23"/>
  <c r="G9" i="23"/>
  <c r="J9" i="23"/>
  <c r="L9" i="23" s="1"/>
  <c r="E10" i="23"/>
  <c r="G10" i="23"/>
  <c r="J10" i="23"/>
  <c r="L10" i="23" s="1"/>
  <c r="E38" i="24"/>
  <c r="G38" i="24" s="1"/>
  <c r="E39" i="24"/>
  <c r="G39" i="24" s="1"/>
  <c r="E36" i="24"/>
  <c r="G36" i="24"/>
  <c r="E35" i="24"/>
  <c r="G35" i="24" s="1"/>
  <c r="E34" i="24"/>
  <c r="G34" i="24" s="1"/>
  <c r="E30" i="24"/>
  <c r="G30" i="24" s="1"/>
  <c r="E31" i="24"/>
  <c r="E28" i="24"/>
  <c r="G28" i="24" s="1"/>
  <c r="E27" i="24"/>
  <c r="E26" i="24"/>
  <c r="E25" i="24"/>
  <c r="G25" i="24" s="1"/>
  <c r="E24" i="24"/>
  <c r="E23" i="24"/>
  <c r="G23" i="24" s="1"/>
  <c r="E22" i="24"/>
  <c r="G22" i="24" s="1"/>
  <c r="E21" i="24"/>
  <c r="E20" i="24"/>
  <c r="E19" i="24"/>
  <c r="E18" i="24"/>
  <c r="E17" i="24"/>
  <c r="G17" i="24" s="1"/>
  <c r="E16" i="24"/>
  <c r="E15" i="24"/>
  <c r="G15" i="24"/>
  <c r="E14" i="24"/>
  <c r="G14" i="24" s="1"/>
  <c r="E13" i="24"/>
  <c r="G13" i="24" s="1"/>
  <c r="E12" i="24"/>
  <c r="G12" i="24"/>
  <c r="D10" i="16"/>
  <c r="F10" i="16" s="1"/>
  <c r="G10" i="16" s="1"/>
  <c r="D9" i="16"/>
  <c r="F9" i="16" s="1"/>
  <c r="D8" i="16"/>
  <c r="F8" i="16" s="1"/>
  <c r="D7" i="16"/>
  <c r="F7" i="16" s="1"/>
  <c r="D6" i="16"/>
  <c r="F6" i="16"/>
  <c r="D5" i="16"/>
  <c r="F5" i="16" s="1"/>
  <c r="D39" i="27"/>
  <c r="F39" i="27" s="1"/>
  <c r="D38" i="27"/>
  <c r="D34" i="27"/>
  <c r="D33" i="27"/>
  <c r="D35" i="27"/>
  <c r="D36" i="27"/>
  <c r="D37" i="27"/>
  <c r="D32" i="27"/>
  <c r="D31" i="27"/>
  <c r="D27" i="27"/>
  <c r="F27" i="27" s="1"/>
  <c r="D26" i="27"/>
  <c r="D23" i="27"/>
  <c r="F23" i="27" s="1"/>
  <c r="D22" i="27"/>
  <c r="F22" i="27" s="1"/>
  <c r="D21" i="27"/>
  <c r="D10" i="27"/>
  <c r="F10" i="27" s="1"/>
  <c r="D9" i="27"/>
  <c r="D8" i="27"/>
  <c r="D12" i="27"/>
  <c r="D7" i="27"/>
  <c r="F7" i="27" s="1"/>
  <c r="D6" i="27"/>
  <c r="D73" i="27"/>
  <c r="D72" i="27"/>
  <c r="D71" i="27"/>
  <c r="D69" i="27"/>
  <c r="D68" i="27"/>
  <c r="D67" i="27"/>
  <c r="D66" i="27"/>
  <c r="D65" i="27"/>
  <c r="D64" i="27"/>
  <c r="D63" i="27"/>
  <c r="D62" i="27"/>
  <c r="D61" i="27"/>
  <c r="D60" i="27"/>
  <c r="D59" i="27"/>
  <c r="D58" i="27"/>
  <c r="D57" i="27"/>
  <c r="D56" i="27"/>
  <c r="D55" i="27"/>
  <c r="D54" i="27"/>
  <c r="D53" i="27"/>
  <c r="D51" i="27"/>
  <c r="D50" i="27"/>
  <c r="D49" i="27"/>
  <c r="D48" i="27"/>
  <c r="D47" i="27"/>
  <c r="D46" i="27"/>
  <c r="D45" i="27"/>
  <c r="D44" i="27"/>
  <c r="D43" i="27"/>
  <c r="D40" i="27"/>
  <c r="D20" i="27"/>
  <c r="D11" i="27"/>
  <c r="F11" i="27" s="1"/>
  <c r="D5" i="27"/>
  <c r="BC34" i="23"/>
  <c r="BC45" i="23"/>
  <c r="BC44" i="23"/>
  <c r="BE44" i="23" s="1"/>
  <c r="BC43" i="23"/>
  <c r="BR41" i="23"/>
  <c r="BT41" i="23" s="1"/>
  <c r="BR40" i="23"/>
  <c r="BT40" i="23"/>
  <c r="BR39" i="23"/>
  <c r="BR38" i="23"/>
  <c r="BT38" i="23" s="1"/>
  <c r="BR37" i="23"/>
  <c r="BT37" i="23"/>
  <c r="BR36" i="23"/>
  <c r="BR35" i="23"/>
  <c r="BR34" i="23"/>
  <c r="BR26" i="23"/>
  <c r="BT26" i="23" s="1"/>
  <c r="BR25" i="23"/>
  <c r="BR24" i="23"/>
  <c r="BR19" i="23"/>
  <c r="BM41" i="23"/>
  <c r="BO41" i="23" s="1"/>
  <c r="BM40" i="23"/>
  <c r="BO40" i="23"/>
  <c r="BM39" i="23"/>
  <c r="BO39" i="23"/>
  <c r="BM38" i="23"/>
  <c r="BO38" i="23" s="1"/>
  <c r="BM37" i="23"/>
  <c r="BO37" i="23" s="1"/>
  <c r="BM36" i="23"/>
  <c r="BM28" i="23"/>
  <c r="BM27" i="23"/>
  <c r="BM26" i="23"/>
  <c r="BM25" i="23"/>
  <c r="BM24" i="23"/>
  <c r="BH41" i="23"/>
  <c r="BJ41" i="23" s="1"/>
  <c r="BC41" i="23"/>
  <c r="BE41" i="23"/>
  <c r="BH40" i="23"/>
  <c r="BJ40" i="23" s="1"/>
  <c r="BC40" i="23"/>
  <c r="BE40" i="23" s="1"/>
  <c r="BH39" i="23"/>
  <c r="BJ39" i="23" s="1"/>
  <c r="BC39" i="23"/>
  <c r="BE39" i="23"/>
  <c r="BH38" i="23"/>
  <c r="BJ38" i="23" s="1"/>
  <c r="BC38" i="23"/>
  <c r="BE38" i="23" s="1"/>
  <c r="BH37" i="23"/>
  <c r="BJ37" i="23" s="1"/>
  <c r="BC37" i="23"/>
  <c r="BE37" i="23" s="1"/>
  <c r="BH36" i="23"/>
  <c r="BJ36" i="23" s="1"/>
  <c r="BC36" i="23"/>
  <c r="BE36" i="23" s="1"/>
  <c r="BH35" i="23"/>
  <c r="BJ35" i="23" s="1"/>
  <c r="BC35" i="23"/>
  <c r="BE35" i="23" s="1"/>
  <c r="BH34" i="23"/>
  <c r="BE34" i="23"/>
  <c r="BH28" i="23"/>
  <c r="BJ28" i="23" s="1"/>
  <c r="BC28" i="23"/>
  <c r="BE28" i="23" s="1"/>
  <c r="BH27" i="23"/>
  <c r="BJ27" i="23" s="1"/>
  <c r="BJ31" i="23" s="1"/>
  <c r="BC27" i="23"/>
  <c r="BE27" i="23" s="1"/>
  <c r="BH26" i="23"/>
  <c r="BC26" i="23"/>
  <c r="BE26" i="23" s="1"/>
  <c r="BH25" i="23"/>
  <c r="BC25" i="23"/>
  <c r="BE25" i="23"/>
  <c r="BH24" i="23"/>
  <c r="BC24" i="23"/>
  <c r="BE24" i="23" s="1"/>
  <c r="BE31" i="23" s="1"/>
  <c r="AX41" i="23"/>
  <c r="AZ41" i="23" s="1"/>
  <c r="AS41" i="23"/>
  <c r="AU41" i="23" s="1"/>
  <c r="AX40" i="23"/>
  <c r="AZ40" i="23"/>
  <c r="AS40" i="23"/>
  <c r="AU40" i="23" s="1"/>
  <c r="AX39" i="23"/>
  <c r="AZ39" i="23" s="1"/>
  <c r="AS39" i="23"/>
  <c r="AU39" i="23" s="1"/>
  <c r="AX38" i="23"/>
  <c r="AZ38" i="23" s="1"/>
  <c r="AS38" i="23"/>
  <c r="AU38" i="23"/>
  <c r="AX37" i="23"/>
  <c r="AZ37" i="23" s="1"/>
  <c r="AS37" i="23"/>
  <c r="AU37" i="23" s="1"/>
  <c r="AS36" i="23"/>
  <c r="AU36" i="23" s="1"/>
  <c r="AX35" i="23"/>
  <c r="AS35" i="23"/>
  <c r="AU35" i="23" s="1"/>
  <c r="AX34" i="23"/>
  <c r="AS34" i="23"/>
  <c r="AU34" i="23" s="1"/>
  <c r="AX26" i="23"/>
  <c r="AS26" i="23"/>
  <c r="AU26" i="23" s="1"/>
  <c r="AX25" i="23"/>
  <c r="AZ25" i="23" s="1"/>
  <c r="AS25" i="23"/>
  <c r="AU25" i="23" s="1"/>
  <c r="AX24" i="23"/>
  <c r="AS24" i="23"/>
  <c r="AU24" i="23" s="1"/>
  <c r="AN48" i="23"/>
  <c r="AI48" i="23"/>
  <c r="AK48" i="23" s="1"/>
  <c r="AN41" i="23"/>
  <c r="AP41" i="23" s="1"/>
  <c r="AI41" i="23"/>
  <c r="AK41" i="23" s="1"/>
  <c r="AN40" i="23"/>
  <c r="AP40" i="23" s="1"/>
  <c r="AI40" i="23"/>
  <c r="AK40" i="23"/>
  <c r="AN39" i="23"/>
  <c r="AP39" i="23" s="1"/>
  <c r="AI39" i="23"/>
  <c r="AK39" i="23" s="1"/>
  <c r="AN38" i="23"/>
  <c r="AP38" i="23"/>
  <c r="AI38" i="23"/>
  <c r="AK38" i="23" s="1"/>
  <c r="AN37" i="23"/>
  <c r="AP37" i="23" s="1"/>
  <c r="AI37" i="23"/>
  <c r="AK37" i="23" s="1"/>
  <c r="AN36" i="23"/>
  <c r="AP36" i="23" s="1"/>
  <c r="AI36" i="23"/>
  <c r="AK36" i="23" s="1"/>
  <c r="AN28" i="23"/>
  <c r="AP28" i="23" s="1"/>
  <c r="AI28" i="23"/>
  <c r="AK28" i="23" s="1"/>
  <c r="AN27" i="23"/>
  <c r="AI27" i="23"/>
  <c r="AK27" i="23" s="1"/>
  <c r="AN26" i="23"/>
  <c r="AI26" i="23"/>
  <c r="AK26" i="23" s="1"/>
  <c r="AN25" i="23"/>
  <c r="AP25" i="23" s="1"/>
  <c r="AI25" i="23"/>
  <c r="AK25" i="23"/>
  <c r="AN24" i="23"/>
  <c r="AI24" i="23"/>
  <c r="AK24" i="23"/>
  <c r="AD41" i="23"/>
  <c r="AF41" i="23" s="1"/>
  <c r="Y41" i="23"/>
  <c r="AA41" i="23" s="1"/>
  <c r="AD39" i="23"/>
  <c r="AF39" i="23"/>
  <c r="Y39" i="23"/>
  <c r="AA39" i="23" s="1"/>
  <c r="AD38" i="23"/>
  <c r="Y38" i="23"/>
  <c r="AA38" i="23" s="1"/>
  <c r="AD37" i="23"/>
  <c r="AF37" i="23" s="1"/>
  <c r="Y37" i="23"/>
  <c r="AA37" i="23" s="1"/>
  <c r="AD36" i="23"/>
  <c r="Y36" i="23"/>
  <c r="AA36" i="23" s="1"/>
  <c r="AD35" i="23"/>
  <c r="Y35" i="23"/>
  <c r="AA35" i="23" s="1"/>
  <c r="AD26" i="23"/>
  <c r="Y26" i="23"/>
  <c r="AA26" i="23" s="1"/>
  <c r="AD25" i="23"/>
  <c r="Y25" i="23"/>
  <c r="AA25" i="23"/>
  <c r="AD24" i="23"/>
  <c r="Y24" i="23"/>
  <c r="AA24" i="23" s="1"/>
  <c r="T41" i="23"/>
  <c r="V41" i="23" s="1"/>
  <c r="O41" i="23"/>
  <c r="Q41" i="23" s="1"/>
  <c r="T40" i="23"/>
  <c r="V40" i="23" s="1"/>
  <c r="O40" i="23"/>
  <c r="Q40" i="23"/>
  <c r="T39" i="23"/>
  <c r="V39" i="23" s="1"/>
  <c r="O39" i="23"/>
  <c r="Q39" i="23" s="1"/>
  <c r="V38" i="23"/>
  <c r="O38" i="23"/>
  <c r="Q38" i="23" s="1"/>
  <c r="T37" i="23"/>
  <c r="V37" i="23" s="1"/>
  <c r="O37" i="23"/>
  <c r="Q37" i="23"/>
  <c r="T36" i="23"/>
  <c r="O36" i="23"/>
  <c r="Q36" i="23" s="1"/>
  <c r="T35" i="23"/>
  <c r="V35" i="23" s="1"/>
  <c r="O35" i="23"/>
  <c r="Q35" i="23" s="1"/>
  <c r="T26" i="23"/>
  <c r="O26" i="23"/>
  <c r="Q26" i="23"/>
  <c r="T25" i="23"/>
  <c r="O25" i="23"/>
  <c r="Q25" i="23" s="1"/>
  <c r="T24" i="23"/>
  <c r="O24" i="23"/>
  <c r="Q24" i="23" s="1"/>
  <c r="EQ47" i="23"/>
  <c r="ES47" i="23" s="1"/>
  <c r="EL47" i="23"/>
  <c r="EN47" i="23"/>
  <c r="EG47" i="23"/>
  <c r="EI47" i="23"/>
  <c r="EB47" i="23"/>
  <c r="ED47" i="23" s="1"/>
  <c r="DW47" i="23"/>
  <c r="DY47" i="23" s="1"/>
  <c r="DR47" i="23"/>
  <c r="DT47" i="23"/>
  <c r="DM47" i="23"/>
  <c r="DO47" i="23" s="1"/>
  <c r="DH47" i="23"/>
  <c r="DJ47" i="23" s="1"/>
  <c r="DC47" i="23"/>
  <c r="DE47" i="23"/>
  <c r="CX47" i="23"/>
  <c r="CZ47" i="23" s="1"/>
  <c r="BR47" i="23"/>
  <c r="BT47" i="23"/>
  <c r="BM47" i="23"/>
  <c r="BO47" i="23" s="1"/>
  <c r="BH47" i="23"/>
  <c r="BJ47" i="23" s="1"/>
  <c r="BE47" i="23"/>
  <c r="AX47" i="23"/>
  <c r="AZ47" i="23" s="1"/>
  <c r="AS47" i="23"/>
  <c r="AU47" i="23" s="1"/>
  <c r="AD47" i="23"/>
  <c r="AF47" i="23" s="1"/>
  <c r="Y47" i="23"/>
  <c r="AA47" i="23" s="1"/>
  <c r="T47" i="23"/>
  <c r="V47" i="23" s="1"/>
  <c r="O47" i="23"/>
  <c r="Q47" i="23" s="1"/>
  <c r="J47" i="23"/>
  <c r="L47" i="23"/>
  <c r="E47" i="23"/>
  <c r="G47" i="23"/>
  <c r="EQ46" i="23"/>
  <c r="ES46" i="23" s="1"/>
  <c r="EL46" i="23"/>
  <c r="EN46" i="23" s="1"/>
  <c r="EG46" i="23"/>
  <c r="EI46" i="23"/>
  <c r="EB46" i="23"/>
  <c r="ED46" i="23" s="1"/>
  <c r="DW46" i="23"/>
  <c r="DY46" i="23" s="1"/>
  <c r="DR46" i="23"/>
  <c r="DT46" i="23" s="1"/>
  <c r="DM46" i="23"/>
  <c r="DO46" i="23" s="1"/>
  <c r="DH46" i="23"/>
  <c r="DJ46" i="23"/>
  <c r="DC46" i="23"/>
  <c r="DE46" i="23"/>
  <c r="BV46" i="23" s="1"/>
  <c r="CX46" i="23"/>
  <c r="CZ46" i="23" s="1"/>
  <c r="BR46" i="23"/>
  <c r="BT46" i="23" s="1"/>
  <c r="BM46" i="23"/>
  <c r="BO46" i="23"/>
  <c r="BH46" i="23"/>
  <c r="BJ46" i="23" s="1"/>
  <c r="BE46" i="23"/>
  <c r="AX46" i="23"/>
  <c r="AZ46" i="23"/>
  <c r="AS46" i="23"/>
  <c r="AU46" i="23" s="1"/>
  <c r="AP46" i="23"/>
  <c r="AD46" i="23"/>
  <c r="AF46" i="23"/>
  <c r="Y46" i="23"/>
  <c r="AA46" i="23" s="1"/>
  <c r="T46" i="23"/>
  <c r="V46" i="23"/>
  <c r="O46" i="23"/>
  <c r="Q46" i="23" s="1"/>
  <c r="J46" i="23"/>
  <c r="L46" i="23"/>
  <c r="E46" i="23"/>
  <c r="G46" i="23" s="1"/>
  <c r="EQ45" i="23"/>
  <c r="ES45" i="23"/>
  <c r="EL45" i="23"/>
  <c r="EN45" i="23"/>
  <c r="EG45" i="23"/>
  <c r="EI45" i="23" s="1"/>
  <c r="EB45" i="23"/>
  <c r="ED45" i="23" s="1"/>
  <c r="DW45" i="23"/>
  <c r="DY45" i="23" s="1"/>
  <c r="DR45" i="23"/>
  <c r="DT45" i="23" s="1"/>
  <c r="DM45" i="23"/>
  <c r="DO45" i="23" s="1"/>
  <c r="DH45" i="23"/>
  <c r="DJ45" i="23" s="1"/>
  <c r="DC45" i="23"/>
  <c r="DE45" i="23" s="1"/>
  <c r="CX45" i="23"/>
  <c r="CZ45" i="23" s="1"/>
  <c r="BR45" i="23"/>
  <c r="BT45" i="23" s="1"/>
  <c r="BM45" i="23"/>
  <c r="BO45" i="23" s="1"/>
  <c r="BH45" i="23"/>
  <c r="BJ45" i="23" s="1"/>
  <c r="BE45" i="23"/>
  <c r="AX45" i="23"/>
  <c r="AZ45" i="23" s="1"/>
  <c r="AS45" i="23"/>
  <c r="AU45" i="23" s="1"/>
  <c r="AD45" i="23"/>
  <c r="AF45" i="23" s="1"/>
  <c r="Y45" i="23"/>
  <c r="AA45" i="23" s="1"/>
  <c r="T45" i="23"/>
  <c r="V45" i="23" s="1"/>
  <c r="O45" i="23"/>
  <c r="Q45" i="23" s="1"/>
  <c r="J45" i="23"/>
  <c r="L45" i="23" s="1"/>
  <c r="E45" i="23"/>
  <c r="G45" i="23" s="1"/>
  <c r="EQ44" i="23"/>
  <c r="ES44" i="23" s="1"/>
  <c r="EL44" i="23"/>
  <c r="EN44" i="23" s="1"/>
  <c r="EG44" i="23"/>
  <c r="EI44" i="23" s="1"/>
  <c r="EB44" i="23"/>
  <c r="ED44" i="23" s="1"/>
  <c r="DW44" i="23"/>
  <c r="DY44" i="23" s="1"/>
  <c r="DR44" i="23"/>
  <c r="DT44" i="23"/>
  <c r="DM44" i="23"/>
  <c r="DO44" i="23" s="1"/>
  <c r="DH44" i="23"/>
  <c r="DJ44" i="23" s="1"/>
  <c r="DC44" i="23"/>
  <c r="DE44" i="23" s="1"/>
  <c r="CX44" i="23"/>
  <c r="CZ44" i="23" s="1"/>
  <c r="BR44" i="23"/>
  <c r="BT44" i="23" s="1"/>
  <c r="BM44" i="23"/>
  <c r="BO44" i="23" s="1"/>
  <c r="BH44" i="23"/>
  <c r="BJ44" i="23" s="1"/>
  <c r="AX44" i="23"/>
  <c r="AZ44" i="23" s="1"/>
  <c r="AS44" i="23"/>
  <c r="AU44" i="23" s="1"/>
  <c r="AP44" i="23"/>
  <c r="AD44" i="23"/>
  <c r="AF44" i="23" s="1"/>
  <c r="Y44" i="23"/>
  <c r="AA44" i="23" s="1"/>
  <c r="T44" i="23"/>
  <c r="V44" i="23" s="1"/>
  <c r="O44" i="23"/>
  <c r="Q44" i="23" s="1"/>
  <c r="J44" i="23"/>
  <c r="L44" i="23" s="1"/>
  <c r="E44" i="23"/>
  <c r="G44" i="23"/>
  <c r="EQ43" i="23"/>
  <c r="ES43" i="23"/>
  <c r="EL43" i="23"/>
  <c r="EN43" i="23" s="1"/>
  <c r="EG43" i="23"/>
  <c r="EI43" i="23" s="1"/>
  <c r="EB43" i="23"/>
  <c r="ED43" i="23" s="1"/>
  <c r="DW43" i="23"/>
  <c r="DY43" i="23" s="1"/>
  <c r="DR43" i="23"/>
  <c r="DT43" i="23" s="1"/>
  <c r="DM43" i="23"/>
  <c r="DO43" i="23" s="1"/>
  <c r="DH43" i="23"/>
  <c r="DJ43" i="23" s="1"/>
  <c r="DC43" i="23"/>
  <c r="DE43" i="23" s="1"/>
  <c r="CX43" i="23"/>
  <c r="CZ43" i="23" s="1"/>
  <c r="BR43" i="23"/>
  <c r="BT43" i="23" s="1"/>
  <c r="BM43" i="23"/>
  <c r="BO43" i="23"/>
  <c r="BH43" i="23"/>
  <c r="BJ43" i="23" s="1"/>
  <c r="BE43" i="23"/>
  <c r="AX43" i="23"/>
  <c r="AZ43" i="23" s="1"/>
  <c r="AS43" i="23"/>
  <c r="AU43" i="23"/>
  <c r="AP43" i="23"/>
  <c r="AD43" i="23"/>
  <c r="AF43" i="23" s="1"/>
  <c r="Y43" i="23"/>
  <c r="AA43" i="23" s="1"/>
  <c r="T43" i="23"/>
  <c r="V43" i="23" s="1"/>
  <c r="O43" i="23"/>
  <c r="Q43" i="23" s="1"/>
  <c r="J43" i="23"/>
  <c r="L43" i="23" s="1"/>
  <c r="E43" i="23"/>
  <c r="G43" i="23" s="1"/>
  <c r="EQ42" i="23"/>
  <c r="ES42" i="23" s="1"/>
  <c r="EL42" i="23"/>
  <c r="EN42" i="23" s="1"/>
  <c r="EG42" i="23"/>
  <c r="EI42" i="23" s="1"/>
  <c r="EB42" i="23"/>
  <c r="ED42" i="23" s="1"/>
  <c r="DW42" i="23"/>
  <c r="DY42" i="23" s="1"/>
  <c r="DR42" i="23"/>
  <c r="DT42" i="23"/>
  <c r="DM42" i="23"/>
  <c r="DO42" i="23" s="1"/>
  <c r="DH42" i="23"/>
  <c r="DJ42" i="23" s="1"/>
  <c r="DC42" i="23"/>
  <c r="DE42" i="23" s="1"/>
  <c r="CX42" i="23"/>
  <c r="CZ42" i="23"/>
  <c r="BR42" i="23"/>
  <c r="BT42" i="23" s="1"/>
  <c r="BM42" i="23"/>
  <c r="BO42" i="23" s="1"/>
  <c r="BH42" i="23"/>
  <c r="BJ42" i="23" s="1"/>
  <c r="BC42" i="23"/>
  <c r="BE42" i="23" s="1"/>
  <c r="AX42" i="23"/>
  <c r="AZ42" i="23" s="1"/>
  <c r="AS42" i="23"/>
  <c r="AU42" i="23" s="1"/>
  <c r="AD42" i="23"/>
  <c r="AF42" i="23" s="1"/>
  <c r="Y42" i="23"/>
  <c r="AA42" i="23" s="1"/>
  <c r="T42" i="23"/>
  <c r="V42" i="23" s="1"/>
  <c r="O42" i="23"/>
  <c r="Q42" i="23"/>
  <c r="J42" i="23"/>
  <c r="L42" i="23" s="1"/>
  <c r="E42" i="23"/>
  <c r="G42" i="23" s="1"/>
  <c r="EQ41" i="23"/>
  <c r="ES41" i="23"/>
  <c r="EL41" i="23"/>
  <c r="EN41" i="23"/>
  <c r="EG41" i="23"/>
  <c r="EI41" i="23"/>
  <c r="EI51" i="23" s="1"/>
  <c r="EB41" i="23"/>
  <c r="ED41" i="23" s="1"/>
  <c r="DW41" i="23"/>
  <c r="DY41" i="23"/>
  <c r="DR41" i="23"/>
  <c r="DT41" i="23" s="1"/>
  <c r="DM41" i="23"/>
  <c r="DO41" i="23"/>
  <c r="DH41" i="23"/>
  <c r="DJ41" i="23" s="1"/>
  <c r="DC41" i="23"/>
  <c r="DE41" i="23" s="1"/>
  <c r="CX41" i="23"/>
  <c r="CZ41" i="23"/>
  <c r="J41" i="23"/>
  <c r="L41" i="23"/>
  <c r="E41" i="23"/>
  <c r="G41" i="23" s="1"/>
  <c r="EQ40" i="23"/>
  <c r="ES40" i="23" s="1"/>
  <c r="EL40" i="23"/>
  <c r="EN40" i="23"/>
  <c r="EG40" i="23"/>
  <c r="EI40" i="23" s="1"/>
  <c r="EB40" i="23"/>
  <c r="ED40" i="23" s="1"/>
  <c r="DW40" i="23"/>
  <c r="DY40" i="23"/>
  <c r="DR40" i="23"/>
  <c r="DT40" i="23" s="1"/>
  <c r="DM40" i="23"/>
  <c r="DO40" i="23"/>
  <c r="DH40" i="23"/>
  <c r="DJ40" i="23" s="1"/>
  <c r="DC40" i="23"/>
  <c r="DE40" i="23"/>
  <c r="CX40" i="23"/>
  <c r="CZ40" i="23" s="1"/>
  <c r="J40" i="23"/>
  <c r="L40" i="23"/>
  <c r="E40" i="23"/>
  <c r="G40" i="23" s="1"/>
  <c r="EQ39" i="23"/>
  <c r="ES39" i="23"/>
  <c r="EL39" i="23"/>
  <c r="EN39" i="23"/>
  <c r="EG39" i="23"/>
  <c r="EI39" i="23" s="1"/>
  <c r="EB39" i="23"/>
  <c r="ED39" i="23" s="1"/>
  <c r="DW39" i="23"/>
  <c r="DY39" i="23" s="1"/>
  <c r="DR39" i="23"/>
  <c r="DT39" i="23" s="1"/>
  <c r="DM39" i="23"/>
  <c r="DO39" i="23" s="1"/>
  <c r="DH39" i="23"/>
  <c r="DJ39" i="23" s="1"/>
  <c r="DC39" i="23"/>
  <c r="DE39" i="23"/>
  <c r="CX39" i="23"/>
  <c r="CZ39" i="23"/>
  <c r="BT39" i="23"/>
  <c r="J39" i="23"/>
  <c r="L39" i="23" s="1"/>
  <c r="E39" i="23"/>
  <c r="G39" i="23"/>
  <c r="EQ38" i="23"/>
  <c r="ES38" i="23" s="1"/>
  <c r="EL38" i="23"/>
  <c r="EN38" i="23" s="1"/>
  <c r="EG38" i="23"/>
  <c r="EI38" i="23" s="1"/>
  <c r="EB38" i="23"/>
  <c r="ED38" i="23" s="1"/>
  <c r="DW38" i="23"/>
  <c r="DY38" i="23" s="1"/>
  <c r="DR38" i="23"/>
  <c r="DT38" i="23" s="1"/>
  <c r="DM38" i="23"/>
  <c r="DO38" i="23" s="1"/>
  <c r="DH38" i="23"/>
  <c r="DJ38" i="23" s="1"/>
  <c r="DC38" i="23"/>
  <c r="DE38" i="23" s="1"/>
  <c r="CX38" i="23"/>
  <c r="CZ38" i="23" s="1"/>
  <c r="AF38" i="23"/>
  <c r="J38" i="23"/>
  <c r="L38" i="23" s="1"/>
  <c r="E38" i="23"/>
  <c r="G38" i="23" s="1"/>
  <c r="EQ37" i="23"/>
  <c r="ES37" i="23"/>
  <c r="EL37" i="23"/>
  <c r="EN37" i="23" s="1"/>
  <c r="EG37" i="23"/>
  <c r="EI37" i="23" s="1"/>
  <c r="EB37" i="23"/>
  <c r="ED37" i="23"/>
  <c r="DW37" i="23"/>
  <c r="DY37" i="23"/>
  <c r="DR37" i="23"/>
  <c r="DT37" i="23"/>
  <c r="DM37" i="23"/>
  <c r="DO37" i="23" s="1"/>
  <c r="DH37" i="23"/>
  <c r="DJ37" i="23"/>
  <c r="DC37" i="23"/>
  <c r="DE37" i="23" s="1"/>
  <c r="CX37" i="23"/>
  <c r="CZ37" i="23"/>
  <c r="J37" i="23"/>
  <c r="L37" i="23" s="1"/>
  <c r="E37" i="23"/>
  <c r="G37" i="23" s="1"/>
  <c r="J7" i="23"/>
  <c r="J6" i="23"/>
  <c r="L6" i="23" s="1"/>
  <c r="E6" i="23"/>
  <c r="B43" i="23"/>
  <c r="D28" i="14"/>
  <c r="D26" i="14"/>
  <c r="E52" i="24"/>
  <c r="G52" i="24" s="1"/>
  <c r="E49" i="24"/>
  <c r="G49" i="24"/>
  <c r="E48" i="24"/>
  <c r="G48" i="24"/>
  <c r="E47" i="24"/>
  <c r="G47" i="24"/>
  <c r="E46" i="24"/>
  <c r="G46" i="24" s="1"/>
  <c r="E45" i="24"/>
  <c r="G45" i="24"/>
  <c r="E44" i="24"/>
  <c r="G44" i="24" s="1"/>
  <c r="E43" i="24"/>
  <c r="G43" i="24"/>
  <c r="E42" i="24"/>
  <c r="G42" i="24" s="1"/>
  <c r="E41" i="24"/>
  <c r="G41" i="24" s="1"/>
  <c r="E40" i="24"/>
  <c r="G40" i="24"/>
  <c r="E32" i="24"/>
  <c r="G32" i="24"/>
  <c r="G31" i="24"/>
  <c r="G27" i="24"/>
  <c r="G26" i="24"/>
  <c r="G24" i="24"/>
  <c r="G21" i="24"/>
  <c r="G20" i="24"/>
  <c r="G19" i="24"/>
  <c r="G18" i="24"/>
  <c r="G16" i="24"/>
  <c r="E10" i="24"/>
  <c r="G10" i="24" s="1"/>
  <c r="E9" i="24"/>
  <c r="G9" i="24"/>
  <c r="E8" i="24"/>
  <c r="G8" i="24" s="1"/>
  <c r="E7" i="24"/>
  <c r="G7" i="24" s="1"/>
  <c r="E6" i="24"/>
  <c r="G6" i="24" s="1"/>
  <c r="E5" i="24"/>
  <c r="G5" i="24" s="1"/>
  <c r="D70" i="17"/>
  <c r="F70" i="17" s="1"/>
  <c r="D69" i="17"/>
  <c r="F69" i="17" s="1"/>
  <c r="D68" i="17"/>
  <c r="F68" i="17" s="1"/>
  <c r="D67" i="17"/>
  <c r="F67" i="17" s="1"/>
  <c r="D66" i="17"/>
  <c r="F66" i="17"/>
  <c r="D65" i="17"/>
  <c r="F65" i="17" s="1"/>
  <c r="D64" i="17"/>
  <c r="F64" i="17" s="1"/>
  <c r="D63" i="17"/>
  <c r="F63" i="17" s="1"/>
  <c r="D62" i="17"/>
  <c r="F62" i="17"/>
  <c r="D61" i="17"/>
  <c r="F61" i="17" s="1"/>
  <c r="D60" i="17"/>
  <c r="F60" i="17" s="1"/>
  <c r="D59" i="17"/>
  <c r="F59" i="17" s="1"/>
  <c r="D58" i="17"/>
  <c r="F58" i="17"/>
  <c r="D57" i="17"/>
  <c r="F57" i="17" s="1"/>
  <c r="D56" i="17"/>
  <c r="F56" i="17" s="1"/>
  <c r="D55" i="17"/>
  <c r="F55" i="17" s="1"/>
  <c r="D54" i="17"/>
  <c r="F54" i="17"/>
  <c r="D53" i="17"/>
  <c r="F53" i="17" s="1"/>
  <c r="D49" i="17"/>
  <c r="F49" i="17" s="1"/>
  <c r="D48" i="17"/>
  <c r="F48" i="17"/>
  <c r="D47" i="17"/>
  <c r="F47" i="17" s="1"/>
  <c r="D46" i="17"/>
  <c r="F46" i="17" s="1"/>
  <c r="D45" i="17"/>
  <c r="F45" i="17" s="1"/>
  <c r="D44" i="17"/>
  <c r="F44" i="17" s="1"/>
  <c r="D43" i="17"/>
  <c r="F43" i="17"/>
  <c r="D42" i="17"/>
  <c r="F42" i="17" s="1"/>
  <c r="D41" i="17"/>
  <c r="F41" i="17" s="1"/>
  <c r="D40" i="17"/>
  <c r="F40" i="17" s="1"/>
  <c r="D39" i="17"/>
  <c r="F39" i="17" s="1"/>
  <c r="D38" i="17"/>
  <c r="F38" i="17" s="1"/>
  <c r="D37" i="17"/>
  <c r="F37" i="17" s="1"/>
  <c r="D36" i="17"/>
  <c r="F36" i="17" s="1"/>
  <c r="D35" i="17"/>
  <c r="F35" i="17" s="1"/>
  <c r="D34" i="17"/>
  <c r="F34" i="17" s="1"/>
  <c r="D33" i="17"/>
  <c r="F33" i="17" s="1"/>
  <c r="D32" i="17"/>
  <c r="F32" i="17" s="1"/>
  <c r="D31" i="17"/>
  <c r="F31" i="17"/>
  <c r="D30" i="17"/>
  <c r="F30" i="17" s="1"/>
  <c r="D29" i="17"/>
  <c r="F29" i="17" s="1"/>
  <c r="D22" i="17"/>
  <c r="F22" i="17" s="1"/>
  <c r="D21" i="17"/>
  <c r="F21" i="17"/>
  <c r="D20" i="17"/>
  <c r="F20" i="17" s="1"/>
  <c r="D19" i="17"/>
  <c r="F19" i="17" s="1"/>
  <c r="D18" i="17"/>
  <c r="F18" i="17" s="1"/>
  <c r="D17" i="17"/>
  <c r="F17" i="17" s="1"/>
  <c r="D16" i="17"/>
  <c r="F16" i="17" s="1"/>
  <c r="D15" i="17"/>
  <c r="F15" i="17" s="1"/>
  <c r="D14" i="17"/>
  <c r="F14" i="17" s="1"/>
  <c r="D13" i="17"/>
  <c r="F13" i="17" s="1"/>
  <c r="D12" i="17"/>
  <c r="F12" i="17" s="1"/>
  <c r="D11" i="17"/>
  <c r="F11" i="17" s="1"/>
  <c r="F96" i="17"/>
  <c r="F90" i="17"/>
  <c r="F84" i="17"/>
  <c r="F31" i="16"/>
  <c r="B15" i="15"/>
  <c r="B28" i="15"/>
  <c r="D73" i="17"/>
  <c r="F73" i="17" s="1"/>
  <c r="D72" i="17"/>
  <c r="F72" i="17" s="1"/>
  <c r="D71" i="17"/>
  <c r="F71" i="17" s="1"/>
  <c r="D25" i="17"/>
  <c r="F25" i="17"/>
  <c r="D24" i="17"/>
  <c r="F24" i="17" s="1"/>
  <c r="D23" i="17"/>
  <c r="F23" i="17" s="1"/>
  <c r="D10" i="17"/>
  <c r="F10" i="17" s="1"/>
  <c r="D9" i="17"/>
  <c r="F9" i="17"/>
  <c r="D8" i="17"/>
  <c r="F8" i="17"/>
  <c r="D7" i="17"/>
  <c r="F7" i="17" s="1"/>
  <c r="D6" i="17"/>
  <c r="F6" i="17"/>
  <c r="D5" i="17"/>
  <c r="F5" i="17" s="1"/>
  <c r="D17" i="16"/>
  <c r="F17" i="16" s="1"/>
  <c r="D16" i="16"/>
  <c r="F16" i="16" s="1"/>
  <c r="D15" i="16"/>
  <c r="F15" i="16" s="1"/>
  <c r="D14" i="16"/>
  <c r="F14" i="16" s="1"/>
  <c r="D11" i="16"/>
  <c r="F11" i="16"/>
  <c r="E29" i="25"/>
  <c r="B20" i="26" s="1"/>
  <c r="B29" i="25"/>
  <c r="B17" i="1" s="1"/>
  <c r="E25" i="25"/>
  <c r="B19" i="26" s="1"/>
  <c r="B25" i="25"/>
  <c r="E21" i="25"/>
  <c r="B21" i="25"/>
  <c r="B39" i="1" s="1"/>
  <c r="E17" i="25"/>
  <c r="B17" i="26"/>
  <c r="B17" i="25"/>
  <c r="B15" i="1" s="1"/>
  <c r="B9" i="25"/>
  <c r="B14" i="1" s="1"/>
  <c r="EQ75" i="23"/>
  <c r="ES75" i="23" s="1"/>
  <c r="EL75" i="23"/>
  <c r="EN75" i="23" s="1"/>
  <c r="EG75" i="23"/>
  <c r="EI75" i="23" s="1"/>
  <c r="EB75" i="23"/>
  <c r="ED75" i="23" s="1"/>
  <c r="DW75" i="23"/>
  <c r="DY75" i="23"/>
  <c r="DR75" i="23"/>
  <c r="DT75" i="23" s="1"/>
  <c r="DT76" i="23" s="1"/>
  <c r="DM75" i="23"/>
  <c r="DO75" i="23" s="1"/>
  <c r="DH75" i="23"/>
  <c r="DJ75" i="23"/>
  <c r="DC75" i="23"/>
  <c r="DE75" i="23" s="1"/>
  <c r="CX75" i="23"/>
  <c r="CZ75" i="23" s="1"/>
  <c r="BR75" i="23"/>
  <c r="BT75" i="23"/>
  <c r="BM75" i="23"/>
  <c r="BO75" i="23"/>
  <c r="BH75" i="23"/>
  <c r="BJ75" i="23"/>
  <c r="BC75" i="23"/>
  <c r="BE75" i="23" s="1"/>
  <c r="AX75" i="23"/>
  <c r="AZ75" i="23"/>
  <c r="AS75" i="23"/>
  <c r="AU75" i="23" s="1"/>
  <c r="AN75" i="23"/>
  <c r="AP75" i="23"/>
  <c r="AP76" i="23" s="1"/>
  <c r="AI75" i="23"/>
  <c r="AK75" i="23" s="1"/>
  <c r="AD75" i="23"/>
  <c r="AF75" i="23" s="1"/>
  <c r="Y75" i="23"/>
  <c r="AA75" i="23"/>
  <c r="T75" i="23"/>
  <c r="V75" i="23" s="1"/>
  <c r="O75" i="23"/>
  <c r="Q75" i="23" s="1"/>
  <c r="J75" i="23"/>
  <c r="L75" i="23" s="1"/>
  <c r="L76" i="23" s="1"/>
  <c r="E75" i="23"/>
  <c r="G75" i="23" s="1"/>
  <c r="B75" i="23" s="1"/>
  <c r="EQ74" i="23"/>
  <c r="ES74" i="23"/>
  <c r="EL74" i="23"/>
  <c r="EN74" i="23" s="1"/>
  <c r="EG74" i="23"/>
  <c r="EI74" i="23"/>
  <c r="EB74" i="23"/>
  <c r="ED74" i="23"/>
  <c r="DW74" i="23"/>
  <c r="DY74" i="23" s="1"/>
  <c r="DR74" i="23"/>
  <c r="DT74" i="23" s="1"/>
  <c r="DM74" i="23"/>
  <c r="DO74" i="23" s="1"/>
  <c r="DH74" i="23"/>
  <c r="DJ74" i="23"/>
  <c r="DC74" i="23"/>
  <c r="DE74" i="23" s="1"/>
  <c r="CX74" i="23"/>
  <c r="CZ74" i="23" s="1"/>
  <c r="BR74" i="23"/>
  <c r="BT74" i="23"/>
  <c r="BT76" i="23" s="1"/>
  <c r="BM74" i="23"/>
  <c r="BO74" i="23"/>
  <c r="BH74" i="23"/>
  <c r="BJ74" i="23"/>
  <c r="BC74" i="23"/>
  <c r="BE74" i="23" s="1"/>
  <c r="AX74" i="23"/>
  <c r="AZ74" i="23" s="1"/>
  <c r="AS74" i="23"/>
  <c r="AU74" i="23"/>
  <c r="AU76" i="23" s="1"/>
  <c r="AN74" i="23"/>
  <c r="AP74" i="23"/>
  <c r="AI74" i="23"/>
  <c r="AK74" i="23" s="1"/>
  <c r="AD74" i="23"/>
  <c r="AF74" i="23" s="1"/>
  <c r="Y74" i="23"/>
  <c r="AA74" i="23"/>
  <c r="T74" i="23"/>
  <c r="V74" i="23" s="1"/>
  <c r="O74" i="23"/>
  <c r="Q74" i="23" s="1"/>
  <c r="J74" i="23"/>
  <c r="L74" i="23"/>
  <c r="E74" i="23"/>
  <c r="G74" i="23" s="1"/>
  <c r="EQ73" i="23"/>
  <c r="ES73" i="23" s="1"/>
  <c r="EL73" i="23"/>
  <c r="EN73" i="23" s="1"/>
  <c r="EG73" i="23"/>
  <c r="EI73" i="23" s="1"/>
  <c r="EB73" i="23"/>
  <c r="ED73" i="23" s="1"/>
  <c r="ED76" i="23" s="1"/>
  <c r="DW73" i="23"/>
  <c r="DY73" i="23" s="1"/>
  <c r="DY76" i="23" s="1"/>
  <c r="DR73" i="23"/>
  <c r="DT73" i="23" s="1"/>
  <c r="DM73" i="23"/>
  <c r="DO73" i="23" s="1"/>
  <c r="DH73" i="23"/>
  <c r="DJ73" i="23"/>
  <c r="DC73" i="23"/>
  <c r="DE73" i="23"/>
  <c r="CX73" i="23"/>
  <c r="CZ73" i="23" s="1"/>
  <c r="BR73" i="23"/>
  <c r="BT73" i="23"/>
  <c r="BM73" i="23"/>
  <c r="BO73" i="23" s="1"/>
  <c r="BE73" i="23"/>
  <c r="AZ73" i="23"/>
  <c r="AU73" i="23"/>
  <c r="AK73" i="23"/>
  <c r="AF73" i="23"/>
  <c r="Q73" i="23"/>
  <c r="B73" i="23" s="1"/>
  <c r="J73" i="23"/>
  <c r="L73" i="23" s="1"/>
  <c r="E73" i="23"/>
  <c r="G73" i="23" s="1"/>
  <c r="EQ70" i="23"/>
  <c r="ES70" i="23"/>
  <c r="EL70" i="23"/>
  <c r="EN70" i="23"/>
  <c r="EG70" i="23"/>
  <c r="EI70" i="23" s="1"/>
  <c r="EB70" i="23"/>
  <c r="ED70" i="23" s="1"/>
  <c r="DW70" i="23"/>
  <c r="DY70" i="23"/>
  <c r="DR70" i="23"/>
  <c r="DT70" i="23" s="1"/>
  <c r="DM70" i="23"/>
  <c r="DO70" i="23" s="1"/>
  <c r="DH70" i="23"/>
  <c r="DJ70" i="23" s="1"/>
  <c r="DC70" i="23"/>
  <c r="DE70" i="23" s="1"/>
  <c r="CX70" i="23"/>
  <c r="CZ70" i="23"/>
  <c r="BV70" i="23" s="1"/>
  <c r="BR70" i="23"/>
  <c r="BT70" i="23" s="1"/>
  <c r="BM70" i="23"/>
  <c r="BO70" i="23"/>
  <c r="BH70" i="23"/>
  <c r="BJ70" i="23" s="1"/>
  <c r="BC70" i="23"/>
  <c r="BE70" i="23" s="1"/>
  <c r="AX70" i="23"/>
  <c r="AZ70" i="23" s="1"/>
  <c r="AS70" i="23"/>
  <c r="AU70" i="23" s="1"/>
  <c r="AN70" i="23"/>
  <c r="AP70" i="23"/>
  <c r="AI70" i="23"/>
  <c r="AK70" i="23" s="1"/>
  <c r="AD70" i="23"/>
  <c r="AF70" i="23" s="1"/>
  <c r="Y70" i="23"/>
  <c r="AA70" i="23" s="1"/>
  <c r="T70" i="23"/>
  <c r="V70" i="23" s="1"/>
  <c r="O70" i="23"/>
  <c r="Q70" i="23"/>
  <c r="B70" i="23" s="1"/>
  <c r="L70" i="23"/>
  <c r="G70" i="23"/>
  <c r="EQ69" i="23"/>
  <c r="ES69" i="23" s="1"/>
  <c r="EL69" i="23"/>
  <c r="EN69" i="23" s="1"/>
  <c r="EG69" i="23"/>
  <c r="EI69" i="23"/>
  <c r="EB69" i="23"/>
  <c r="ED69" i="23" s="1"/>
  <c r="DW69" i="23"/>
  <c r="DY69" i="23" s="1"/>
  <c r="DR69" i="23"/>
  <c r="DT69" i="23" s="1"/>
  <c r="DT71" i="23" s="1"/>
  <c r="DM69" i="23"/>
  <c r="DO69" i="23"/>
  <c r="DH69" i="23"/>
  <c r="DJ69" i="23" s="1"/>
  <c r="DC69" i="23"/>
  <c r="DE69" i="23" s="1"/>
  <c r="CX69" i="23"/>
  <c r="CZ69" i="23" s="1"/>
  <c r="G69" i="23"/>
  <c r="EQ68" i="23"/>
  <c r="ES68" i="23" s="1"/>
  <c r="EL68" i="23"/>
  <c r="EN68" i="23" s="1"/>
  <c r="EG68" i="23"/>
  <c r="EI68" i="23" s="1"/>
  <c r="EB68" i="23"/>
  <c r="ED68" i="23" s="1"/>
  <c r="DW68" i="23"/>
  <c r="DY68" i="23" s="1"/>
  <c r="DR68" i="23"/>
  <c r="DT68" i="23"/>
  <c r="DM68" i="23"/>
  <c r="DO68" i="23" s="1"/>
  <c r="DH68" i="23"/>
  <c r="DJ68" i="23" s="1"/>
  <c r="DC68" i="23"/>
  <c r="DE68" i="23" s="1"/>
  <c r="BV68" i="23" s="1"/>
  <c r="CX68" i="23"/>
  <c r="CZ68" i="23" s="1"/>
  <c r="EQ67" i="23"/>
  <c r="ES67" i="23"/>
  <c r="EL67" i="23"/>
  <c r="EN67" i="23" s="1"/>
  <c r="EG67" i="23"/>
  <c r="EI67" i="23" s="1"/>
  <c r="EB67" i="23"/>
  <c r="ED67" i="23"/>
  <c r="DW67" i="23"/>
  <c r="DY67" i="23" s="1"/>
  <c r="DR67" i="23"/>
  <c r="DT67" i="23"/>
  <c r="DM67" i="23"/>
  <c r="DO67" i="23" s="1"/>
  <c r="DH67" i="23"/>
  <c r="DJ67" i="23" s="1"/>
  <c r="DC67" i="23"/>
  <c r="DE67" i="23"/>
  <c r="CX67" i="23"/>
  <c r="CZ67" i="23" s="1"/>
  <c r="G67" i="23"/>
  <c r="B67" i="23" s="1"/>
  <c r="EQ66" i="23"/>
  <c r="ES66" i="23" s="1"/>
  <c r="EL66" i="23"/>
  <c r="EN66" i="23"/>
  <c r="EG66" i="23"/>
  <c r="EI66" i="23" s="1"/>
  <c r="EB66" i="23"/>
  <c r="ED66" i="23" s="1"/>
  <c r="DW66" i="23"/>
  <c r="DY66" i="23"/>
  <c r="DR66" i="23"/>
  <c r="DT66" i="23" s="1"/>
  <c r="DM66" i="23"/>
  <c r="DO66" i="23" s="1"/>
  <c r="DH66" i="23"/>
  <c r="DJ66" i="23" s="1"/>
  <c r="DC66" i="23"/>
  <c r="DE66" i="23" s="1"/>
  <c r="CX66" i="23"/>
  <c r="CZ66" i="23" s="1"/>
  <c r="CZ71" i="23" s="1"/>
  <c r="EQ63" i="23"/>
  <c r="ES63" i="23"/>
  <c r="EL63" i="23"/>
  <c r="EN63" i="23" s="1"/>
  <c r="EN71" i="23" s="1"/>
  <c r="EG63" i="23"/>
  <c r="EI63" i="23" s="1"/>
  <c r="EB63" i="23"/>
  <c r="ED63" i="23"/>
  <c r="DW63" i="23"/>
  <c r="DY63" i="23" s="1"/>
  <c r="DY71" i="23" s="1"/>
  <c r="DR63" i="23"/>
  <c r="DT63" i="23" s="1"/>
  <c r="DM63" i="23"/>
  <c r="DO63" i="23" s="1"/>
  <c r="DH63" i="23"/>
  <c r="DJ63" i="23" s="1"/>
  <c r="DC63" i="23"/>
  <c r="DE63" i="23"/>
  <c r="CX63" i="23"/>
  <c r="CZ63" i="23" s="1"/>
  <c r="G63" i="23"/>
  <c r="EQ62" i="23"/>
  <c r="ES62" i="23" s="1"/>
  <c r="ES71" i="23" s="1"/>
  <c r="EL62" i="23"/>
  <c r="EN62" i="23" s="1"/>
  <c r="EG62" i="23"/>
  <c r="EI62" i="23" s="1"/>
  <c r="EB62" i="23"/>
  <c r="ED62" i="23"/>
  <c r="ED71" i="23" s="1"/>
  <c r="DW62" i="23"/>
  <c r="DY62" i="23" s="1"/>
  <c r="DR62" i="23"/>
  <c r="DT62" i="23" s="1"/>
  <c r="DM62" i="23"/>
  <c r="DO62" i="23" s="1"/>
  <c r="DH62" i="23"/>
  <c r="DJ62" i="23" s="1"/>
  <c r="DC62" i="23"/>
  <c r="DE62" i="23" s="1"/>
  <c r="CX62" i="23"/>
  <c r="CZ62" i="23" s="1"/>
  <c r="G62" i="23"/>
  <c r="EQ59" i="23"/>
  <c r="ES59" i="23" s="1"/>
  <c r="EL59" i="23"/>
  <c r="EN59" i="23" s="1"/>
  <c r="EG59" i="23"/>
  <c r="EI59" i="23"/>
  <c r="EB59" i="23"/>
  <c r="ED59" i="23"/>
  <c r="DW59" i="23"/>
  <c r="DY59" i="23" s="1"/>
  <c r="DR59" i="23"/>
  <c r="DT59" i="23" s="1"/>
  <c r="BV59" i="23" s="1"/>
  <c r="DM59" i="23"/>
  <c r="DO59" i="23"/>
  <c r="DH59" i="23"/>
  <c r="DJ59" i="23"/>
  <c r="DC59" i="23"/>
  <c r="DE59" i="23" s="1"/>
  <c r="CX59" i="23"/>
  <c r="CZ59" i="23"/>
  <c r="BR59" i="23"/>
  <c r="BT59" i="23" s="1"/>
  <c r="BM59" i="23"/>
  <c r="BO59" i="23" s="1"/>
  <c r="BJ59" i="23"/>
  <c r="AZ59" i="23"/>
  <c r="AF59" i="23"/>
  <c r="O59" i="23"/>
  <c r="Q59" i="23" s="1"/>
  <c r="J59" i="23"/>
  <c r="L59" i="23" s="1"/>
  <c r="EQ58" i="23"/>
  <c r="ES58" i="23" s="1"/>
  <c r="EL58" i="23"/>
  <c r="EN58" i="23"/>
  <c r="EG58" i="23"/>
  <c r="EI58" i="23"/>
  <c r="EB58" i="23"/>
  <c r="ED58" i="23" s="1"/>
  <c r="DW58" i="23"/>
  <c r="DY58" i="23"/>
  <c r="DR58" i="23"/>
  <c r="DT58" i="23" s="1"/>
  <c r="DM58" i="23"/>
  <c r="DO58" i="23"/>
  <c r="BV58" i="23" s="1"/>
  <c r="DH58" i="23"/>
  <c r="DJ58" i="23" s="1"/>
  <c r="DC58" i="23"/>
  <c r="DE58" i="23" s="1"/>
  <c r="CX58" i="23"/>
  <c r="CZ58" i="23" s="1"/>
  <c r="BR58" i="23"/>
  <c r="BT58" i="23" s="1"/>
  <c r="BM58" i="23"/>
  <c r="BO58" i="23" s="1"/>
  <c r="BJ58" i="23"/>
  <c r="BE58" i="23"/>
  <c r="AZ58" i="23"/>
  <c r="AU58" i="23"/>
  <c r="AP58" i="23"/>
  <c r="AK58" i="23"/>
  <c r="AF58" i="23"/>
  <c r="AA58" i="23"/>
  <c r="V58" i="23"/>
  <c r="O58" i="23"/>
  <c r="Q58" i="23"/>
  <c r="J58" i="23"/>
  <c r="L58" i="23" s="1"/>
  <c r="E58" i="23"/>
  <c r="G58" i="23" s="1"/>
  <c r="EQ57" i="23"/>
  <c r="ES57" i="23"/>
  <c r="ES60" i="23" s="1"/>
  <c r="EL57" i="23"/>
  <c r="EN57" i="23" s="1"/>
  <c r="EG57" i="23"/>
  <c r="EI57" i="23" s="1"/>
  <c r="EB57" i="23"/>
  <c r="ED57" i="23" s="1"/>
  <c r="DW57" i="23"/>
  <c r="DY57" i="23"/>
  <c r="DR57" i="23"/>
  <c r="DT57" i="23" s="1"/>
  <c r="DM57" i="23"/>
  <c r="DO57" i="23" s="1"/>
  <c r="DH57" i="23"/>
  <c r="DJ57" i="23" s="1"/>
  <c r="DC57" i="23"/>
  <c r="DE57" i="23"/>
  <c r="CX57" i="23"/>
  <c r="CZ57" i="23"/>
  <c r="BR57" i="23"/>
  <c r="BT57" i="23" s="1"/>
  <c r="BM57" i="23"/>
  <c r="BO57" i="23"/>
  <c r="BH57" i="23"/>
  <c r="BJ57" i="23" s="1"/>
  <c r="BC57" i="23"/>
  <c r="BE57" i="23" s="1"/>
  <c r="AX57" i="23"/>
  <c r="AZ57" i="23" s="1"/>
  <c r="AS57" i="23"/>
  <c r="AU57" i="23" s="1"/>
  <c r="AN57" i="23"/>
  <c r="AP57" i="23"/>
  <c r="AI57" i="23"/>
  <c r="AK57" i="23"/>
  <c r="AD57" i="23"/>
  <c r="AF57" i="23" s="1"/>
  <c r="Y57" i="23"/>
  <c r="AA57" i="23" s="1"/>
  <c r="T57" i="23"/>
  <c r="V57" i="23"/>
  <c r="O57" i="23"/>
  <c r="Q57" i="23"/>
  <c r="J57" i="23"/>
  <c r="L57" i="23" s="1"/>
  <c r="B57" i="23" s="1"/>
  <c r="E57" i="23"/>
  <c r="G57" i="23"/>
  <c r="EQ56" i="23"/>
  <c r="ES56" i="23" s="1"/>
  <c r="EL56" i="23"/>
  <c r="EN56" i="23" s="1"/>
  <c r="EG56" i="23"/>
  <c r="EI56" i="23" s="1"/>
  <c r="EB56" i="23"/>
  <c r="ED56" i="23" s="1"/>
  <c r="DW56" i="23"/>
  <c r="DY56" i="23" s="1"/>
  <c r="DR56" i="23"/>
  <c r="DT56" i="23"/>
  <c r="DM56" i="23"/>
  <c r="DO56" i="23" s="1"/>
  <c r="DH56" i="23"/>
  <c r="DJ56" i="23"/>
  <c r="DC56" i="23"/>
  <c r="DE56" i="23"/>
  <c r="CX56" i="23"/>
  <c r="CZ56" i="23" s="1"/>
  <c r="BR56" i="23"/>
  <c r="BT56" i="23" s="1"/>
  <c r="BM56" i="23"/>
  <c r="BO56" i="23"/>
  <c r="BH56" i="23"/>
  <c r="BJ56" i="23" s="1"/>
  <c r="BC56" i="23"/>
  <c r="BE56" i="23"/>
  <c r="AX56" i="23"/>
  <c r="AZ56" i="23" s="1"/>
  <c r="AS56" i="23"/>
  <c r="AU56" i="23"/>
  <c r="AN56" i="23"/>
  <c r="AP56" i="23"/>
  <c r="AI56" i="23"/>
  <c r="AK56" i="23"/>
  <c r="AD56" i="23"/>
  <c r="AF56" i="23" s="1"/>
  <c r="AF60" i="23" s="1"/>
  <c r="Y56" i="23"/>
  <c r="AA56" i="23"/>
  <c r="T56" i="23"/>
  <c r="V56" i="23" s="1"/>
  <c r="O56" i="23"/>
  <c r="Q56" i="23" s="1"/>
  <c r="B56" i="23" s="1"/>
  <c r="J56" i="23"/>
  <c r="L56" i="23" s="1"/>
  <c r="E56" i="23"/>
  <c r="G56" i="23" s="1"/>
  <c r="EQ55" i="23"/>
  <c r="ES55" i="23"/>
  <c r="EL55" i="23"/>
  <c r="EN55" i="23"/>
  <c r="EG55" i="23"/>
  <c r="EI55" i="23" s="1"/>
  <c r="EB55" i="23"/>
  <c r="ED55" i="23" s="1"/>
  <c r="DW55" i="23"/>
  <c r="DY55" i="23"/>
  <c r="DR55" i="23"/>
  <c r="DT55" i="23" s="1"/>
  <c r="DM55" i="23"/>
  <c r="DO55" i="23" s="1"/>
  <c r="DH55" i="23"/>
  <c r="DJ55" i="23"/>
  <c r="DC55" i="23"/>
  <c r="DE55" i="23" s="1"/>
  <c r="CX55" i="23"/>
  <c r="CZ55" i="23" s="1"/>
  <c r="BV55" i="23" s="1"/>
  <c r="BR55" i="23"/>
  <c r="BT55" i="23" s="1"/>
  <c r="BM55" i="23"/>
  <c r="BO55" i="23" s="1"/>
  <c r="J55" i="23"/>
  <c r="L55" i="23" s="1"/>
  <c r="E55" i="23"/>
  <c r="G55" i="23"/>
  <c r="EQ54" i="23"/>
  <c r="ES54" i="23" s="1"/>
  <c r="EL54" i="23"/>
  <c r="EN54" i="23" s="1"/>
  <c r="EN60" i="23" s="1"/>
  <c r="EG54" i="23"/>
  <c r="EI54" i="23"/>
  <c r="EI60" i="23" s="1"/>
  <c r="EB54" i="23"/>
  <c r="ED54" i="23" s="1"/>
  <c r="DW54" i="23"/>
  <c r="DY54" i="23" s="1"/>
  <c r="DR54" i="23"/>
  <c r="DT54" i="23"/>
  <c r="DM54" i="23"/>
  <c r="DO54" i="23" s="1"/>
  <c r="DH54" i="23"/>
  <c r="DJ54" i="23" s="1"/>
  <c r="DC54" i="23"/>
  <c r="DE54" i="23" s="1"/>
  <c r="CX54" i="23"/>
  <c r="CZ54" i="23"/>
  <c r="BR54" i="23"/>
  <c r="BT54" i="23" s="1"/>
  <c r="BM54" i="23"/>
  <c r="BO54" i="23" s="1"/>
  <c r="BH54" i="23"/>
  <c r="BJ54" i="23" s="1"/>
  <c r="BC54" i="23"/>
  <c r="BE54" i="23" s="1"/>
  <c r="AX54" i="23"/>
  <c r="AZ54" i="23" s="1"/>
  <c r="AS54" i="23"/>
  <c r="AU54" i="23" s="1"/>
  <c r="AN54" i="23"/>
  <c r="AP54" i="23" s="1"/>
  <c r="AI54" i="23"/>
  <c r="AK54" i="23"/>
  <c r="AD54" i="23"/>
  <c r="AF54" i="23" s="1"/>
  <c r="Y54" i="23"/>
  <c r="AA54" i="23"/>
  <c r="T54" i="23"/>
  <c r="V54" i="23" s="1"/>
  <c r="O54" i="23"/>
  <c r="Q54" i="23"/>
  <c r="J54" i="23"/>
  <c r="L54" i="23" s="1"/>
  <c r="E54" i="23"/>
  <c r="G54" i="23"/>
  <c r="EQ53" i="23"/>
  <c r="ES53" i="23" s="1"/>
  <c r="EL53" i="23"/>
  <c r="EN53" i="23"/>
  <c r="EG53" i="23"/>
  <c r="EI53" i="23" s="1"/>
  <c r="EB53" i="23"/>
  <c r="ED53" i="23" s="1"/>
  <c r="ED60" i="23" s="1"/>
  <c r="DW53" i="23"/>
  <c r="DY53" i="23" s="1"/>
  <c r="DR53" i="23"/>
  <c r="DT53" i="23" s="1"/>
  <c r="DM53" i="23"/>
  <c r="DO53" i="23" s="1"/>
  <c r="DH53" i="23"/>
  <c r="DJ53" i="23" s="1"/>
  <c r="DJ60" i="23" s="1"/>
  <c r="DC53" i="23"/>
  <c r="DE53" i="23" s="1"/>
  <c r="DE60" i="23" s="1"/>
  <c r="CX53" i="23"/>
  <c r="CZ53" i="23"/>
  <c r="BR53" i="23"/>
  <c r="BT53" i="23" s="1"/>
  <c r="BM53" i="23"/>
  <c r="BO53" i="23" s="1"/>
  <c r="BO60" i="23" s="1"/>
  <c r="BH53" i="23"/>
  <c r="BJ53" i="23" s="1"/>
  <c r="BC53" i="23"/>
  <c r="BE53" i="23"/>
  <c r="BE60" i="23" s="1"/>
  <c r="AX53" i="23"/>
  <c r="AZ53" i="23" s="1"/>
  <c r="AS53" i="23"/>
  <c r="AU53" i="23" s="1"/>
  <c r="AN53" i="23"/>
  <c r="AP53" i="23" s="1"/>
  <c r="AI53" i="23"/>
  <c r="AK53" i="23" s="1"/>
  <c r="AK60" i="23" s="1"/>
  <c r="AD53" i="23"/>
  <c r="AF53" i="23" s="1"/>
  <c r="Y53" i="23"/>
  <c r="AA53" i="23" s="1"/>
  <c r="T53" i="23"/>
  <c r="V53" i="23" s="1"/>
  <c r="V60" i="23" s="1"/>
  <c r="O53" i="23"/>
  <c r="Q53" i="23"/>
  <c r="J53" i="23"/>
  <c r="L53" i="23" s="1"/>
  <c r="E53" i="23"/>
  <c r="G53" i="23" s="1"/>
  <c r="EQ50" i="23"/>
  <c r="ES50" i="23" s="1"/>
  <c r="EL50" i="23"/>
  <c r="EN50" i="23"/>
  <c r="EG50" i="23"/>
  <c r="EI50" i="23" s="1"/>
  <c r="EB50" i="23"/>
  <c r="ED50" i="23"/>
  <c r="DW50" i="23"/>
  <c r="DY50" i="23" s="1"/>
  <c r="DR50" i="23"/>
  <c r="DT50" i="23"/>
  <c r="DM50" i="23"/>
  <c r="DO50" i="23" s="1"/>
  <c r="DH50" i="23"/>
  <c r="DJ50" i="23" s="1"/>
  <c r="DC50" i="23"/>
  <c r="DE50" i="23" s="1"/>
  <c r="CX50" i="23"/>
  <c r="CZ50" i="23"/>
  <c r="BR50" i="23"/>
  <c r="BT50" i="23" s="1"/>
  <c r="BM50" i="23"/>
  <c r="BO50" i="23" s="1"/>
  <c r="BH50" i="23"/>
  <c r="BJ50" i="23" s="1"/>
  <c r="BC50" i="23"/>
  <c r="BE50" i="23"/>
  <c r="AX50" i="23"/>
  <c r="AZ50" i="23" s="1"/>
  <c r="AS50" i="23"/>
  <c r="AU50" i="23" s="1"/>
  <c r="AN50" i="23"/>
  <c r="AP50" i="23" s="1"/>
  <c r="AI50" i="23"/>
  <c r="AK50" i="23"/>
  <c r="AD50" i="23"/>
  <c r="AF50" i="23" s="1"/>
  <c r="Y50" i="23"/>
  <c r="AA50" i="23"/>
  <c r="T50" i="23"/>
  <c r="V50" i="23" s="1"/>
  <c r="O50" i="23"/>
  <c r="Q50" i="23"/>
  <c r="J50" i="23"/>
  <c r="L50" i="23" s="1"/>
  <c r="E50" i="23"/>
  <c r="G50" i="23" s="1"/>
  <c r="EQ48" i="23"/>
  <c r="ES48" i="23" s="1"/>
  <c r="EL48" i="23"/>
  <c r="EN48" i="23"/>
  <c r="EG48" i="23"/>
  <c r="EI48" i="23" s="1"/>
  <c r="EB48" i="23"/>
  <c r="ED48" i="23" s="1"/>
  <c r="DW48" i="23"/>
  <c r="DY48" i="23" s="1"/>
  <c r="DR48" i="23"/>
  <c r="DT48" i="23"/>
  <c r="DM48" i="23"/>
  <c r="DO48" i="23" s="1"/>
  <c r="DH48" i="23"/>
  <c r="DJ48" i="23" s="1"/>
  <c r="DC48" i="23"/>
  <c r="DE48" i="23" s="1"/>
  <c r="CX48" i="23"/>
  <c r="CZ48" i="23"/>
  <c r="BR48" i="23"/>
  <c r="BT48" i="23" s="1"/>
  <c r="BM48" i="23"/>
  <c r="BO48" i="23"/>
  <c r="BO51" i="23" s="1"/>
  <c r="BH48" i="23"/>
  <c r="BJ48" i="23" s="1"/>
  <c r="BC48" i="23"/>
  <c r="BE48" i="23"/>
  <c r="AX48" i="23"/>
  <c r="AZ48" i="23" s="1"/>
  <c r="AS48" i="23"/>
  <c r="AU48" i="23" s="1"/>
  <c r="AP48" i="23"/>
  <c r="AD48" i="23"/>
  <c r="AF48" i="23"/>
  <c r="Y48" i="23"/>
  <c r="AA48" i="23" s="1"/>
  <c r="T48" i="23"/>
  <c r="V48" i="23" s="1"/>
  <c r="O48" i="23"/>
  <c r="Q48" i="23" s="1"/>
  <c r="J48" i="23"/>
  <c r="L48" i="23"/>
  <c r="E48" i="23"/>
  <c r="G48" i="23" s="1"/>
  <c r="EQ36" i="23"/>
  <c r="ES36" i="23" s="1"/>
  <c r="EL36" i="23"/>
  <c r="EN36" i="23" s="1"/>
  <c r="EG36" i="23"/>
  <c r="EI36" i="23"/>
  <c r="EB36" i="23"/>
  <c r="ED36" i="23" s="1"/>
  <c r="DW36" i="23"/>
  <c r="DY36" i="23" s="1"/>
  <c r="DR36" i="23"/>
  <c r="DT36" i="23" s="1"/>
  <c r="DM36" i="23"/>
  <c r="DO36" i="23"/>
  <c r="DH36" i="23"/>
  <c r="DJ36" i="23" s="1"/>
  <c r="DC36" i="23"/>
  <c r="DE36" i="23" s="1"/>
  <c r="CX36" i="23"/>
  <c r="CZ36" i="23" s="1"/>
  <c r="BT36" i="23"/>
  <c r="BO36" i="23"/>
  <c r="AZ36" i="23"/>
  <c r="AF36" i="23"/>
  <c r="V36" i="23"/>
  <c r="J36" i="23"/>
  <c r="L36" i="23" s="1"/>
  <c r="E36" i="23"/>
  <c r="G36" i="23"/>
  <c r="B36" i="23" s="1"/>
  <c r="EQ35" i="23"/>
  <c r="ES35" i="23" s="1"/>
  <c r="EL35" i="23"/>
  <c r="EN35" i="23" s="1"/>
  <c r="EG35" i="23"/>
  <c r="EI35" i="23" s="1"/>
  <c r="EB35" i="23"/>
  <c r="ED35" i="23"/>
  <c r="DW35" i="23"/>
  <c r="DY35" i="23" s="1"/>
  <c r="DR35" i="23"/>
  <c r="DT35" i="23" s="1"/>
  <c r="DM35" i="23"/>
  <c r="DO35" i="23" s="1"/>
  <c r="DH35" i="23"/>
  <c r="DJ35" i="23"/>
  <c r="DC35" i="23"/>
  <c r="DE35" i="23" s="1"/>
  <c r="CX35" i="23"/>
  <c r="CZ35" i="23"/>
  <c r="BV35" i="23" s="1"/>
  <c r="BT35" i="23"/>
  <c r="BM35" i="23"/>
  <c r="BO35" i="23"/>
  <c r="AZ35" i="23"/>
  <c r="AN35" i="23"/>
  <c r="AP35" i="23"/>
  <c r="AI35" i="23"/>
  <c r="AK35" i="23" s="1"/>
  <c r="AF35" i="23"/>
  <c r="J35" i="23"/>
  <c r="L35" i="23" s="1"/>
  <c r="E35" i="23"/>
  <c r="G35" i="23"/>
  <c r="EQ34" i="23"/>
  <c r="ES34" i="23" s="1"/>
  <c r="EL34" i="23"/>
  <c r="EN34" i="23"/>
  <c r="EG34" i="23"/>
  <c r="EI34" i="23" s="1"/>
  <c r="EB34" i="23"/>
  <c r="ED34" i="23"/>
  <c r="DW34" i="23"/>
  <c r="DY34" i="23" s="1"/>
  <c r="DR34" i="23"/>
  <c r="DT34" i="23" s="1"/>
  <c r="DT51" i="23" s="1"/>
  <c r="DM34" i="23"/>
  <c r="DO34" i="23" s="1"/>
  <c r="DH34" i="23"/>
  <c r="DJ34" i="23"/>
  <c r="DC34" i="23"/>
  <c r="DE34" i="23" s="1"/>
  <c r="CX34" i="23"/>
  <c r="CZ34" i="23" s="1"/>
  <c r="BT34" i="23"/>
  <c r="BM34" i="23"/>
  <c r="BO34" i="23" s="1"/>
  <c r="BJ34" i="23"/>
  <c r="AZ34" i="23"/>
  <c r="B34" i="23" s="1"/>
  <c r="AN34" i="23"/>
  <c r="AP34" i="23" s="1"/>
  <c r="AI34" i="23"/>
  <c r="AK34" i="23"/>
  <c r="AD34" i="23"/>
  <c r="AF34" i="23" s="1"/>
  <c r="Y34" i="23"/>
  <c r="AA34" i="23" s="1"/>
  <c r="T34" i="23"/>
  <c r="V34" i="23" s="1"/>
  <c r="V51" i="23" s="1"/>
  <c r="O34" i="23"/>
  <c r="Q34" i="23"/>
  <c r="Q51" i="23" s="1"/>
  <c r="J34" i="23"/>
  <c r="L34" i="23" s="1"/>
  <c r="E34" i="23"/>
  <c r="G34" i="23" s="1"/>
  <c r="EQ33" i="23"/>
  <c r="ES33" i="23" s="1"/>
  <c r="ES51" i="23" s="1"/>
  <c r="EL33" i="23"/>
  <c r="EN33" i="23"/>
  <c r="EG33" i="23"/>
  <c r="EI33" i="23" s="1"/>
  <c r="EB33" i="23"/>
  <c r="ED33" i="23" s="1"/>
  <c r="DW33" i="23"/>
  <c r="DY33" i="23" s="1"/>
  <c r="DR33" i="23"/>
  <c r="DT33" i="23"/>
  <c r="DM33" i="23"/>
  <c r="DO33" i="23" s="1"/>
  <c r="DH33" i="23"/>
  <c r="DJ33" i="23" s="1"/>
  <c r="DJ51" i="23" s="1"/>
  <c r="DC33" i="23"/>
  <c r="DE33" i="23" s="1"/>
  <c r="CX33" i="23"/>
  <c r="CZ33" i="23"/>
  <c r="BR33" i="23"/>
  <c r="BT33" i="23" s="1"/>
  <c r="BM33" i="23"/>
  <c r="BO33" i="23" s="1"/>
  <c r="BH33" i="23"/>
  <c r="BJ33" i="23" s="1"/>
  <c r="BC33" i="23"/>
  <c r="BE33" i="23" s="1"/>
  <c r="AX33" i="23"/>
  <c r="AZ33" i="23" s="1"/>
  <c r="AS33" i="23"/>
  <c r="AU33" i="23" s="1"/>
  <c r="AU51" i="23" s="1"/>
  <c r="AN33" i="23"/>
  <c r="AP33" i="23" s="1"/>
  <c r="AI33" i="23"/>
  <c r="AK33" i="23"/>
  <c r="AD33" i="23"/>
  <c r="AF33" i="23" s="1"/>
  <c r="Y33" i="23"/>
  <c r="AA33" i="23" s="1"/>
  <c r="T33" i="23"/>
  <c r="V33" i="23" s="1"/>
  <c r="O33" i="23"/>
  <c r="Q33" i="23"/>
  <c r="J33" i="23"/>
  <c r="L33" i="23" s="1"/>
  <c r="E33" i="23"/>
  <c r="G33" i="23"/>
  <c r="EQ30" i="23"/>
  <c r="ES30" i="23" s="1"/>
  <c r="EL30" i="23"/>
  <c r="EN30" i="23"/>
  <c r="EG30" i="23"/>
  <c r="EI30" i="23" s="1"/>
  <c r="EB30" i="23"/>
  <c r="ED30" i="23" s="1"/>
  <c r="DW30" i="23"/>
  <c r="DY30" i="23" s="1"/>
  <c r="DR30" i="23"/>
  <c r="DT30" i="23"/>
  <c r="DM30" i="23"/>
  <c r="DO30" i="23" s="1"/>
  <c r="DH30" i="23"/>
  <c r="DJ30" i="23" s="1"/>
  <c r="DC30" i="23"/>
  <c r="DE30" i="23" s="1"/>
  <c r="CX30" i="23"/>
  <c r="CZ30" i="23"/>
  <c r="BV30" i="23" s="1"/>
  <c r="BR30" i="23"/>
  <c r="BT30" i="23" s="1"/>
  <c r="BM30" i="23"/>
  <c r="BO30" i="23" s="1"/>
  <c r="BH30" i="23"/>
  <c r="BJ30" i="23" s="1"/>
  <c r="BC30" i="23"/>
  <c r="BE30" i="23"/>
  <c r="AX30" i="23"/>
  <c r="AZ30" i="23" s="1"/>
  <c r="AS30" i="23"/>
  <c r="AU30" i="23"/>
  <c r="AU31" i="23" s="1"/>
  <c r="AN30" i="23"/>
  <c r="AP30" i="23" s="1"/>
  <c r="AI30" i="23"/>
  <c r="AK30" i="23"/>
  <c r="AD30" i="23"/>
  <c r="AF30" i="23" s="1"/>
  <c r="Y30" i="23"/>
  <c r="AA30" i="23" s="1"/>
  <c r="T30" i="23"/>
  <c r="V30" i="23" s="1"/>
  <c r="O30" i="23"/>
  <c r="Q30" i="23"/>
  <c r="J30" i="23"/>
  <c r="L30" i="23" s="1"/>
  <c r="E30" i="23"/>
  <c r="G30" i="23" s="1"/>
  <c r="EQ29" i="23"/>
  <c r="ES29" i="23" s="1"/>
  <c r="EL29" i="23"/>
  <c r="EN29" i="23"/>
  <c r="EG29" i="23"/>
  <c r="EI29" i="23" s="1"/>
  <c r="EB29" i="23"/>
  <c r="ED29" i="23" s="1"/>
  <c r="DW29" i="23"/>
  <c r="DY29" i="23" s="1"/>
  <c r="DR29" i="23"/>
  <c r="DT29" i="23"/>
  <c r="DM29" i="23"/>
  <c r="DO29" i="23" s="1"/>
  <c r="DH29" i="23"/>
  <c r="DJ29" i="23"/>
  <c r="BV29" i="23" s="1"/>
  <c r="DC29" i="23"/>
  <c r="DE29" i="23" s="1"/>
  <c r="CX29" i="23"/>
  <c r="CZ29" i="23"/>
  <c r="BR29" i="23"/>
  <c r="BT29" i="23" s="1"/>
  <c r="BM29" i="23"/>
  <c r="BO29" i="23" s="1"/>
  <c r="BH29" i="23"/>
  <c r="BJ29" i="23" s="1"/>
  <c r="BC29" i="23"/>
  <c r="BE29" i="23"/>
  <c r="AX29" i="23"/>
  <c r="AZ29" i="23" s="1"/>
  <c r="AS29" i="23"/>
  <c r="AU29" i="23" s="1"/>
  <c r="AN29" i="23"/>
  <c r="AP29" i="23" s="1"/>
  <c r="AI29" i="23"/>
  <c r="AK29" i="23"/>
  <c r="AD29" i="23"/>
  <c r="AF29" i="23" s="1"/>
  <c r="Y29" i="23"/>
  <c r="AA29" i="23" s="1"/>
  <c r="T29" i="23"/>
  <c r="V29" i="23" s="1"/>
  <c r="O29" i="23"/>
  <c r="Q29" i="23"/>
  <c r="J29" i="23"/>
  <c r="L29" i="23" s="1"/>
  <c r="E29" i="23"/>
  <c r="G29" i="23" s="1"/>
  <c r="B29" i="23" s="1"/>
  <c r="EQ28" i="23"/>
  <c r="ES28" i="23" s="1"/>
  <c r="EL28" i="23"/>
  <c r="EN28" i="23"/>
  <c r="EG28" i="23"/>
  <c r="EI28" i="23" s="1"/>
  <c r="EB28" i="23"/>
  <c r="ED28" i="23" s="1"/>
  <c r="DW28" i="23"/>
  <c r="DY28" i="23" s="1"/>
  <c r="DR28" i="23"/>
  <c r="DT28" i="23" s="1"/>
  <c r="DM28" i="23"/>
  <c r="DO28" i="23" s="1"/>
  <c r="DH28" i="23"/>
  <c r="DJ28" i="23" s="1"/>
  <c r="DC28" i="23"/>
  <c r="DE28" i="23" s="1"/>
  <c r="CX28" i="23"/>
  <c r="CZ28" i="23"/>
  <c r="BR28" i="23"/>
  <c r="BT28" i="23" s="1"/>
  <c r="BO28" i="23"/>
  <c r="AX28" i="23"/>
  <c r="AZ28" i="23" s="1"/>
  <c r="AS28" i="23"/>
  <c r="AU28" i="23"/>
  <c r="AD28" i="23"/>
  <c r="AF28" i="23"/>
  <c r="Y28" i="23"/>
  <c r="AA28" i="23" s="1"/>
  <c r="T28" i="23"/>
  <c r="V28" i="23" s="1"/>
  <c r="O28" i="23"/>
  <c r="Q28" i="23" s="1"/>
  <c r="J28" i="23"/>
  <c r="L28" i="23"/>
  <c r="E28" i="23"/>
  <c r="G28" i="23" s="1"/>
  <c r="EQ27" i="23"/>
  <c r="ES27" i="23" s="1"/>
  <c r="EL27" i="23"/>
  <c r="EN27" i="23" s="1"/>
  <c r="EG27" i="23"/>
  <c r="EI27" i="23"/>
  <c r="EI31" i="23" s="1"/>
  <c r="EB27" i="23"/>
  <c r="ED27" i="23" s="1"/>
  <c r="DW27" i="23"/>
  <c r="DY27" i="23" s="1"/>
  <c r="DR27" i="23"/>
  <c r="DT27" i="23" s="1"/>
  <c r="DM27" i="23"/>
  <c r="DO27" i="23" s="1"/>
  <c r="DH27" i="23"/>
  <c r="DJ27" i="23" s="1"/>
  <c r="DC27" i="23"/>
  <c r="DE27" i="23" s="1"/>
  <c r="CX27" i="23"/>
  <c r="CZ27" i="23" s="1"/>
  <c r="BV27" i="23" s="1"/>
  <c r="BR27" i="23"/>
  <c r="BT27" i="23"/>
  <c r="BO27" i="23"/>
  <c r="AX27" i="23"/>
  <c r="AZ27" i="23"/>
  <c r="AS27" i="23"/>
  <c r="AU27" i="23" s="1"/>
  <c r="AP27" i="23"/>
  <c r="AD27" i="23"/>
  <c r="AF27" i="23"/>
  <c r="Y27" i="23"/>
  <c r="AA27" i="23" s="1"/>
  <c r="T27" i="23"/>
  <c r="V27" i="23" s="1"/>
  <c r="O27" i="23"/>
  <c r="Q27" i="23" s="1"/>
  <c r="J27" i="23"/>
  <c r="L27" i="23"/>
  <c r="E27" i="23"/>
  <c r="G27" i="23" s="1"/>
  <c r="EQ26" i="23"/>
  <c r="ES26" i="23"/>
  <c r="EL26" i="23"/>
  <c r="EN26" i="23" s="1"/>
  <c r="EG26" i="23"/>
  <c r="EI26" i="23"/>
  <c r="EB26" i="23"/>
  <c r="ED26" i="23" s="1"/>
  <c r="DW26" i="23"/>
  <c r="DY26" i="23" s="1"/>
  <c r="DR26" i="23"/>
  <c r="DT26" i="23" s="1"/>
  <c r="DM26" i="23"/>
  <c r="DO26" i="23"/>
  <c r="DH26" i="23"/>
  <c r="DJ26" i="23" s="1"/>
  <c r="DC26" i="23"/>
  <c r="DE26" i="23" s="1"/>
  <c r="CX26" i="23"/>
  <c r="CZ26" i="23" s="1"/>
  <c r="BO26" i="23"/>
  <c r="BJ26" i="23"/>
  <c r="AZ26" i="23"/>
  <c r="AP26" i="23"/>
  <c r="AF26" i="23"/>
  <c r="V26" i="23"/>
  <c r="J26" i="23"/>
  <c r="L26" i="23" s="1"/>
  <c r="E26" i="23"/>
  <c r="G26" i="23" s="1"/>
  <c r="EQ25" i="23"/>
  <c r="ES25" i="23"/>
  <c r="EL25" i="23"/>
  <c r="EN25" i="23" s="1"/>
  <c r="EG25" i="23"/>
  <c r="EI25" i="23" s="1"/>
  <c r="EB25" i="23"/>
  <c r="ED25" i="23" s="1"/>
  <c r="DW25" i="23"/>
  <c r="DY25" i="23"/>
  <c r="DR25" i="23"/>
  <c r="DT25" i="23" s="1"/>
  <c r="DM25" i="23"/>
  <c r="DO25" i="23" s="1"/>
  <c r="DH25" i="23"/>
  <c r="DJ25" i="23" s="1"/>
  <c r="DC25" i="23"/>
  <c r="DE25" i="23"/>
  <c r="CX25" i="23"/>
  <c r="CZ25" i="23" s="1"/>
  <c r="BT25" i="23"/>
  <c r="BO25" i="23"/>
  <c r="BJ25" i="23"/>
  <c r="AF25" i="23"/>
  <c r="V25" i="23"/>
  <c r="V31" i="23" s="1"/>
  <c r="J25" i="23"/>
  <c r="L25" i="23" s="1"/>
  <c r="E25" i="23"/>
  <c r="G25" i="23" s="1"/>
  <c r="EQ24" i="23"/>
  <c r="ES24" i="23" s="1"/>
  <c r="EL24" i="23"/>
  <c r="EN24" i="23"/>
  <c r="EN31" i="23" s="1"/>
  <c r="EG24" i="23"/>
  <c r="EI24" i="23" s="1"/>
  <c r="EB24" i="23"/>
  <c r="ED24" i="23" s="1"/>
  <c r="DW24" i="23"/>
  <c r="DY24" i="23" s="1"/>
  <c r="DY31" i="23" s="1"/>
  <c r="DR24" i="23"/>
  <c r="DT24" i="23"/>
  <c r="DM24" i="23"/>
  <c r="DO24" i="23" s="1"/>
  <c r="DH24" i="23"/>
  <c r="DJ24" i="23" s="1"/>
  <c r="DC24" i="23"/>
  <c r="DE24" i="23" s="1"/>
  <c r="DE31" i="23" s="1"/>
  <c r="CX24" i="23"/>
  <c r="CZ24" i="23"/>
  <c r="BT24" i="23"/>
  <c r="BO24" i="23"/>
  <c r="BJ24" i="23"/>
  <c r="AZ24" i="23"/>
  <c r="AP24" i="23"/>
  <c r="AF24" i="23"/>
  <c r="V24" i="23"/>
  <c r="J24" i="23"/>
  <c r="L24" i="23" s="1"/>
  <c r="E24" i="23"/>
  <c r="G24" i="23"/>
  <c r="B24" i="23" s="1"/>
  <c r="EQ21" i="23"/>
  <c r="ES21" i="23" s="1"/>
  <c r="EL21" i="23"/>
  <c r="EN21" i="23" s="1"/>
  <c r="EG21" i="23"/>
  <c r="EI21" i="23" s="1"/>
  <c r="EB21" i="23"/>
  <c r="ED21" i="23"/>
  <c r="DW21" i="23"/>
  <c r="DY21" i="23" s="1"/>
  <c r="DR21" i="23"/>
  <c r="DT21" i="23"/>
  <c r="DM21" i="23"/>
  <c r="DO21" i="23" s="1"/>
  <c r="DH21" i="23"/>
  <c r="DJ21" i="23"/>
  <c r="DC21" i="23"/>
  <c r="DE21" i="23" s="1"/>
  <c r="CX21" i="23"/>
  <c r="CZ21" i="23" s="1"/>
  <c r="BR21" i="23"/>
  <c r="BT21" i="23" s="1"/>
  <c r="BM21" i="23"/>
  <c r="BO21" i="23"/>
  <c r="BH21" i="23"/>
  <c r="BJ21" i="23" s="1"/>
  <c r="BC21" i="23"/>
  <c r="BE21" i="23" s="1"/>
  <c r="AX21" i="23"/>
  <c r="AZ21" i="23" s="1"/>
  <c r="AS21" i="23"/>
  <c r="AU21" i="23"/>
  <c r="AN21" i="23"/>
  <c r="AP21" i="23" s="1"/>
  <c r="AI21" i="23"/>
  <c r="AK21" i="23" s="1"/>
  <c r="AD21" i="23"/>
  <c r="AF21" i="23" s="1"/>
  <c r="Y21" i="23"/>
  <c r="AA21" i="23"/>
  <c r="T21" i="23"/>
  <c r="V21" i="23" s="1"/>
  <c r="O21" i="23"/>
  <c r="Q21" i="23" s="1"/>
  <c r="J21" i="23"/>
  <c r="L21" i="23" s="1"/>
  <c r="E21" i="23"/>
  <c r="G21" i="23"/>
  <c r="EQ20" i="23"/>
  <c r="ES20" i="23" s="1"/>
  <c r="EL20" i="23"/>
  <c r="EN20" i="23" s="1"/>
  <c r="EG20" i="23"/>
  <c r="EI20" i="23" s="1"/>
  <c r="EB20" i="23"/>
  <c r="ED20" i="23" s="1"/>
  <c r="DW20" i="23"/>
  <c r="DY20" i="23" s="1"/>
  <c r="DR20" i="23"/>
  <c r="DT20" i="23" s="1"/>
  <c r="DM20" i="23"/>
  <c r="DO20" i="23" s="1"/>
  <c r="DH20" i="23"/>
  <c r="DJ20" i="23"/>
  <c r="DC20" i="23"/>
  <c r="DE20" i="23" s="1"/>
  <c r="CX20" i="23"/>
  <c r="CZ20" i="23" s="1"/>
  <c r="BR20" i="23"/>
  <c r="BT20" i="23" s="1"/>
  <c r="BM20" i="23"/>
  <c r="BO20" i="23"/>
  <c r="BH20" i="23"/>
  <c r="BJ20" i="23" s="1"/>
  <c r="BC20" i="23"/>
  <c r="BE20" i="23"/>
  <c r="AX20" i="23"/>
  <c r="AZ20" i="23" s="1"/>
  <c r="AS20" i="23"/>
  <c r="AU20" i="23"/>
  <c r="AN20" i="23"/>
  <c r="AP20" i="23" s="1"/>
  <c r="AI20" i="23"/>
  <c r="AK20" i="23" s="1"/>
  <c r="AD20" i="23"/>
  <c r="AF20" i="23" s="1"/>
  <c r="Y20" i="23"/>
  <c r="AA20" i="23"/>
  <c r="T20" i="23"/>
  <c r="V20" i="23" s="1"/>
  <c r="O20" i="23"/>
  <c r="Q20" i="23" s="1"/>
  <c r="J20" i="23"/>
  <c r="L20" i="23" s="1"/>
  <c r="E20" i="23"/>
  <c r="G20" i="23"/>
  <c r="EQ19" i="23"/>
  <c r="ES19" i="23" s="1"/>
  <c r="BV19" i="23" s="1"/>
  <c r="EL19" i="23"/>
  <c r="EN19" i="23" s="1"/>
  <c r="EG19" i="23"/>
  <c r="EI19" i="23" s="1"/>
  <c r="EB19" i="23"/>
  <c r="ED19" i="23"/>
  <c r="DW19" i="23"/>
  <c r="DY19" i="23" s="1"/>
  <c r="DR19" i="23"/>
  <c r="DT19" i="23"/>
  <c r="DM19" i="23"/>
  <c r="DO19" i="23" s="1"/>
  <c r="DO22" i="23" s="1"/>
  <c r="DH19" i="23"/>
  <c r="DJ19" i="23"/>
  <c r="DC19" i="23"/>
  <c r="DE19" i="23" s="1"/>
  <c r="CX19" i="23"/>
  <c r="CZ19" i="23" s="1"/>
  <c r="BT19" i="23"/>
  <c r="BM19" i="23"/>
  <c r="BO19" i="23"/>
  <c r="BO22" i="23" s="1"/>
  <c r="BH19" i="23"/>
  <c r="BJ19" i="23"/>
  <c r="BC19" i="23"/>
  <c r="BE19" i="23" s="1"/>
  <c r="AX19" i="23"/>
  <c r="AZ19" i="23" s="1"/>
  <c r="AS19" i="23"/>
  <c r="AU19" i="23" s="1"/>
  <c r="AU22" i="23" s="1"/>
  <c r="AN19" i="23"/>
  <c r="AP19" i="23" s="1"/>
  <c r="AI19" i="23"/>
  <c r="AK19" i="23" s="1"/>
  <c r="AK22" i="23" s="1"/>
  <c r="AD19" i="23"/>
  <c r="AF19" i="23"/>
  <c r="Y19" i="23"/>
  <c r="AA19" i="23"/>
  <c r="AA22" i="23" s="1"/>
  <c r="T19" i="23"/>
  <c r="V19" i="23" s="1"/>
  <c r="V22" i="23" s="1"/>
  <c r="O19" i="23"/>
  <c r="Q19" i="23" s="1"/>
  <c r="J19" i="23"/>
  <c r="L19" i="23" s="1"/>
  <c r="L22" i="23" s="1"/>
  <c r="E19" i="23"/>
  <c r="G19" i="23" s="1"/>
  <c r="G22" i="23" s="1"/>
  <c r="EQ18" i="23"/>
  <c r="ES18" i="23"/>
  <c r="EL18" i="23"/>
  <c r="EN18" i="23" s="1"/>
  <c r="EG18" i="23"/>
  <c r="EI18" i="23"/>
  <c r="EB18" i="23"/>
  <c r="ED18" i="23"/>
  <c r="DW18" i="23"/>
  <c r="DY18" i="23"/>
  <c r="DR18" i="23"/>
  <c r="DT18" i="23" s="1"/>
  <c r="DM18" i="23"/>
  <c r="DO18" i="23" s="1"/>
  <c r="DH18" i="23"/>
  <c r="DJ18" i="23" s="1"/>
  <c r="DJ22" i="23" s="1"/>
  <c r="DC18" i="23"/>
  <c r="DE18" i="23" s="1"/>
  <c r="CX18" i="23"/>
  <c r="CZ18" i="23" s="1"/>
  <c r="EQ17" i="23"/>
  <c r="ES17" i="23"/>
  <c r="EL17" i="23"/>
  <c r="EN17" i="23"/>
  <c r="EG17" i="23"/>
  <c r="EI17" i="23"/>
  <c r="EI22" i="23" s="1"/>
  <c r="EB17" i="23"/>
  <c r="ED17" i="23" s="1"/>
  <c r="DW17" i="23"/>
  <c r="DY17" i="23"/>
  <c r="DY22" i="23" s="1"/>
  <c r="DR17" i="23"/>
  <c r="DT17" i="23" s="1"/>
  <c r="DM17" i="23"/>
  <c r="DO17" i="23" s="1"/>
  <c r="DH17" i="23"/>
  <c r="DJ17" i="23" s="1"/>
  <c r="DC17" i="23"/>
  <c r="DE17" i="23"/>
  <c r="DE22" i="23" s="1"/>
  <c r="CX17" i="23"/>
  <c r="CZ17" i="23"/>
  <c r="EQ14" i="23"/>
  <c r="ES14" i="23"/>
  <c r="EL14" i="23"/>
  <c r="EN14" i="23" s="1"/>
  <c r="EG14" i="23"/>
  <c r="EI14" i="23" s="1"/>
  <c r="EB14" i="23"/>
  <c r="ED14" i="23"/>
  <c r="DW14" i="23"/>
  <c r="DY14" i="23" s="1"/>
  <c r="DR14" i="23"/>
  <c r="DT14" i="23" s="1"/>
  <c r="DM14" i="23"/>
  <c r="DO14" i="23" s="1"/>
  <c r="DH14" i="23"/>
  <c r="DJ14" i="23" s="1"/>
  <c r="DC14" i="23"/>
  <c r="DE14" i="23"/>
  <c r="CX14" i="23"/>
  <c r="CZ14" i="23" s="1"/>
  <c r="BR14" i="23"/>
  <c r="BT14" i="23" s="1"/>
  <c r="BM14" i="23"/>
  <c r="BO14" i="23" s="1"/>
  <c r="BH14" i="23"/>
  <c r="BJ14" i="23" s="1"/>
  <c r="BC14" i="23"/>
  <c r="BE14" i="23" s="1"/>
  <c r="AX14" i="23"/>
  <c r="AZ14" i="23" s="1"/>
  <c r="AS14" i="23"/>
  <c r="AU14" i="23"/>
  <c r="AN14" i="23"/>
  <c r="AP14" i="23"/>
  <c r="AI14" i="23"/>
  <c r="AK14" i="23" s="1"/>
  <c r="AD14" i="23"/>
  <c r="AF14" i="23"/>
  <c r="Y14" i="23"/>
  <c r="AA14" i="23" s="1"/>
  <c r="T14" i="23"/>
  <c r="V14" i="23" s="1"/>
  <c r="O14" i="23"/>
  <c r="Q14" i="23" s="1"/>
  <c r="J14" i="23"/>
  <c r="L14" i="23" s="1"/>
  <c r="E14" i="23"/>
  <c r="G14" i="23"/>
  <c r="EQ13" i="23"/>
  <c r="ES13" i="23" s="1"/>
  <c r="EL13" i="23"/>
  <c r="EN13" i="23" s="1"/>
  <c r="EG13" i="23"/>
  <c r="EI13" i="23"/>
  <c r="EB13" i="23"/>
  <c r="ED13" i="23"/>
  <c r="DW13" i="23"/>
  <c r="DY13" i="23"/>
  <c r="DR13" i="23"/>
  <c r="DT13" i="23" s="1"/>
  <c r="DM13" i="23"/>
  <c r="DO13" i="23" s="1"/>
  <c r="BV13" i="23" s="1"/>
  <c r="DH13" i="23"/>
  <c r="DJ13" i="23"/>
  <c r="DC13" i="23"/>
  <c r="DE13" i="23"/>
  <c r="CX13" i="23"/>
  <c r="CZ13" i="23" s="1"/>
  <c r="BR13" i="23"/>
  <c r="BT13" i="23" s="1"/>
  <c r="BM13" i="23"/>
  <c r="BO13" i="23" s="1"/>
  <c r="BH13" i="23"/>
  <c r="BJ13" i="23"/>
  <c r="BC13" i="23"/>
  <c r="BE13" i="23" s="1"/>
  <c r="AX13" i="23"/>
  <c r="AZ13" i="23" s="1"/>
  <c r="AS13" i="23"/>
  <c r="AU13" i="23" s="1"/>
  <c r="AN13" i="23"/>
  <c r="AP13" i="23" s="1"/>
  <c r="AI13" i="23"/>
  <c r="AK13" i="23" s="1"/>
  <c r="AD13" i="23"/>
  <c r="AF13" i="23"/>
  <c r="Y13" i="23"/>
  <c r="AA13" i="23" s="1"/>
  <c r="T13" i="23"/>
  <c r="V13" i="23"/>
  <c r="O13" i="23"/>
  <c r="Q13" i="23" s="1"/>
  <c r="J13" i="23"/>
  <c r="L13" i="23"/>
  <c r="E13" i="23"/>
  <c r="G13" i="23" s="1"/>
  <c r="EQ12" i="23"/>
  <c r="ES12" i="23" s="1"/>
  <c r="EL12" i="23"/>
  <c r="EN12" i="23" s="1"/>
  <c r="EG12" i="23"/>
  <c r="EI12" i="23"/>
  <c r="EB12" i="23"/>
  <c r="ED12" i="23" s="1"/>
  <c r="DW12" i="23"/>
  <c r="DY12" i="23" s="1"/>
  <c r="DR12" i="23"/>
  <c r="DT12" i="23" s="1"/>
  <c r="DM12" i="23"/>
  <c r="DO12" i="23" s="1"/>
  <c r="DH12" i="23"/>
  <c r="DJ12" i="23" s="1"/>
  <c r="DC12" i="23"/>
  <c r="DE12" i="23"/>
  <c r="CX12" i="23"/>
  <c r="CZ12" i="23" s="1"/>
  <c r="BR12" i="23"/>
  <c r="BT12" i="23" s="1"/>
  <c r="BM12" i="23"/>
  <c r="BO12" i="23" s="1"/>
  <c r="BH12" i="23"/>
  <c r="BJ12" i="23"/>
  <c r="BC12" i="23"/>
  <c r="BE12" i="23" s="1"/>
  <c r="AX12" i="23"/>
  <c r="AZ12" i="23" s="1"/>
  <c r="AS12" i="23"/>
  <c r="AU12" i="23" s="1"/>
  <c r="AN12" i="23"/>
  <c r="AP12" i="23"/>
  <c r="AI12" i="23"/>
  <c r="AK12" i="23" s="1"/>
  <c r="AD12" i="23"/>
  <c r="AF12" i="23"/>
  <c r="Y12" i="23"/>
  <c r="AA12" i="23" s="1"/>
  <c r="T12" i="23"/>
  <c r="V12" i="23"/>
  <c r="O12" i="23"/>
  <c r="Q12" i="23" s="1"/>
  <c r="J12" i="23"/>
  <c r="L12" i="23" s="1"/>
  <c r="E12" i="23"/>
  <c r="G12" i="23" s="1"/>
  <c r="EQ11" i="23"/>
  <c r="ES11" i="23"/>
  <c r="EL11" i="23"/>
  <c r="EN11" i="23" s="1"/>
  <c r="EG11" i="23"/>
  <c r="EI11" i="23"/>
  <c r="EB11" i="23"/>
  <c r="ED11" i="23" s="1"/>
  <c r="DW11" i="23"/>
  <c r="DY11" i="23" s="1"/>
  <c r="DR11" i="23"/>
  <c r="DT11" i="23" s="1"/>
  <c r="DM11" i="23"/>
  <c r="DO11" i="23"/>
  <c r="DH11" i="23"/>
  <c r="DJ11" i="23" s="1"/>
  <c r="DC11" i="23"/>
  <c r="DE11" i="23" s="1"/>
  <c r="CX11" i="23"/>
  <c r="CZ11" i="23" s="1"/>
  <c r="BR11" i="23"/>
  <c r="BT11" i="23"/>
  <c r="BM11" i="23"/>
  <c r="BO11" i="23" s="1"/>
  <c r="BH11" i="23"/>
  <c r="BJ11" i="23" s="1"/>
  <c r="BC11" i="23"/>
  <c r="BE11" i="23" s="1"/>
  <c r="AX11" i="23"/>
  <c r="AZ11" i="23" s="1"/>
  <c r="AS11" i="23"/>
  <c r="AU11" i="23" s="1"/>
  <c r="AN11" i="23"/>
  <c r="AP11" i="23"/>
  <c r="AI11" i="23"/>
  <c r="AK11" i="23" s="1"/>
  <c r="AD11" i="23"/>
  <c r="AF11" i="23" s="1"/>
  <c r="Y11" i="23"/>
  <c r="AA11" i="23" s="1"/>
  <c r="T11" i="23"/>
  <c r="V11" i="23"/>
  <c r="O11" i="23"/>
  <c r="Q11" i="23" s="1"/>
  <c r="J11" i="23"/>
  <c r="L11" i="23"/>
  <c r="E11" i="23"/>
  <c r="G11" i="23" s="1"/>
  <c r="EQ10" i="23"/>
  <c r="ES10" i="23"/>
  <c r="EL10" i="23"/>
  <c r="EN10" i="23" s="1"/>
  <c r="EG10" i="23"/>
  <c r="EI10" i="23" s="1"/>
  <c r="EB10" i="23"/>
  <c r="ED10" i="23" s="1"/>
  <c r="DW10" i="23"/>
  <c r="DY10" i="23"/>
  <c r="DR10" i="23"/>
  <c r="DT10" i="23" s="1"/>
  <c r="DM10" i="23"/>
  <c r="DO10" i="23" s="1"/>
  <c r="DH10" i="23"/>
  <c r="DJ10" i="23" s="1"/>
  <c r="DC10" i="23"/>
  <c r="DE10" i="23" s="1"/>
  <c r="CX10" i="23"/>
  <c r="CZ10" i="23" s="1"/>
  <c r="BR10" i="23"/>
  <c r="BT10" i="23"/>
  <c r="BM10" i="23"/>
  <c r="BO10" i="23" s="1"/>
  <c r="BH10" i="23"/>
  <c r="BJ10" i="23" s="1"/>
  <c r="BC10" i="23"/>
  <c r="BE10" i="23" s="1"/>
  <c r="AX10" i="23"/>
  <c r="AZ10" i="23" s="1"/>
  <c r="AS10" i="23"/>
  <c r="AU10" i="23" s="1"/>
  <c r="AN10" i="23"/>
  <c r="AP10" i="23" s="1"/>
  <c r="AI10" i="23"/>
  <c r="AK10" i="23" s="1"/>
  <c r="AD10" i="23"/>
  <c r="AF10" i="23" s="1"/>
  <c r="Y10" i="23"/>
  <c r="AA10" i="23" s="1"/>
  <c r="T10" i="23"/>
  <c r="V10" i="23" s="1"/>
  <c r="O10" i="23"/>
  <c r="Q10" i="23" s="1"/>
  <c r="EQ9" i="23"/>
  <c r="ES9" i="23" s="1"/>
  <c r="EL9" i="23"/>
  <c r="EN9" i="23" s="1"/>
  <c r="EG9" i="23"/>
  <c r="EI9" i="23" s="1"/>
  <c r="EB9" i="23"/>
  <c r="ED9" i="23" s="1"/>
  <c r="DW9" i="23"/>
  <c r="DY9" i="23"/>
  <c r="DR9" i="23"/>
  <c r="DT9" i="23" s="1"/>
  <c r="DM9" i="23"/>
  <c r="DO9" i="23" s="1"/>
  <c r="DH9" i="23"/>
  <c r="DJ9" i="23" s="1"/>
  <c r="DC9" i="23"/>
  <c r="DE9" i="23" s="1"/>
  <c r="CX9" i="23"/>
  <c r="CZ9" i="23" s="1"/>
  <c r="BR9" i="23"/>
  <c r="BT9" i="23"/>
  <c r="BM9" i="23"/>
  <c r="BO9" i="23" s="1"/>
  <c r="BH9" i="23"/>
  <c r="BJ9" i="23"/>
  <c r="BC9" i="23"/>
  <c r="BE9" i="23" s="1"/>
  <c r="AX9" i="23"/>
  <c r="AZ9" i="23" s="1"/>
  <c r="AS9" i="23"/>
  <c r="AU9" i="23" s="1"/>
  <c r="AN9" i="23"/>
  <c r="AP9" i="23" s="1"/>
  <c r="AI9" i="23"/>
  <c r="AK9" i="23" s="1"/>
  <c r="AD9" i="23"/>
  <c r="AF9" i="23" s="1"/>
  <c r="Y9" i="23"/>
  <c r="AA9" i="23" s="1"/>
  <c r="T9" i="23"/>
  <c r="V9" i="23"/>
  <c r="O9" i="23"/>
  <c r="Q9" i="23" s="1"/>
  <c r="EQ8" i="23"/>
  <c r="ES8" i="23" s="1"/>
  <c r="EL8" i="23"/>
  <c r="EN8" i="23" s="1"/>
  <c r="EG8" i="23"/>
  <c r="EI8" i="23" s="1"/>
  <c r="EB8" i="23"/>
  <c r="ED8" i="23" s="1"/>
  <c r="DW8" i="23"/>
  <c r="DY8" i="23"/>
  <c r="DR8" i="23"/>
  <c r="DT8" i="23" s="1"/>
  <c r="DM8" i="23"/>
  <c r="DO8" i="23" s="1"/>
  <c r="DH8" i="23"/>
  <c r="DJ8" i="23" s="1"/>
  <c r="DC8" i="23"/>
  <c r="DE8" i="23"/>
  <c r="CX8" i="23"/>
  <c r="CZ8" i="23" s="1"/>
  <c r="BR8" i="23"/>
  <c r="BT8" i="23" s="1"/>
  <c r="BM8" i="23"/>
  <c r="BO8" i="23" s="1"/>
  <c r="BH8" i="23"/>
  <c r="BJ8" i="23" s="1"/>
  <c r="BC8" i="23"/>
  <c r="BE8" i="23" s="1"/>
  <c r="AX8" i="23"/>
  <c r="AZ8" i="23" s="1"/>
  <c r="AS8" i="23"/>
  <c r="AU8" i="23" s="1"/>
  <c r="AN8" i="23"/>
  <c r="AP8" i="23" s="1"/>
  <c r="AI8" i="23"/>
  <c r="AK8" i="23"/>
  <c r="AD8" i="23"/>
  <c r="AF8" i="23" s="1"/>
  <c r="Y8" i="23"/>
  <c r="AA8" i="23" s="1"/>
  <c r="T8" i="23"/>
  <c r="V8" i="23" s="1"/>
  <c r="O8" i="23"/>
  <c r="Q8" i="23"/>
  <c r="EQ7" i="23"/>
  <c r="ES7" i="23" s="1"/>
  <c r="EL7" i="23"/>
  <c r="EN7" i="23" s="1"/>
  <c r="EG7" i="23"/>
  <c r="EI7" i="23" s="1"/>
  <c r="EB7" i="23"/>
  <c r="ED7" i="23"/>
  <c r="DW7" i="23"/>
  <c r="DY7" i="23" s="1"/>
  <c r="DR7" i="23"/>
  <c r="DT7" i="23" s="1"/>
  <c r="DM7" i="23"/>
  <c r="DO7" i="23" s="1"/>
  <c r="DH7" i="23"/>
  <c r="DJ7" i="23" s="1"/>
  <c r="DC7" i="23"/>
  <c r="DE7" i="23" s="1"/>
  <c r="CX7" i="23"/>
  <c r="CZ7" i="23" s="1"/>
  <c r="BR7" i="23"/>
  <c r="BT7" i="23" s="1"/>
  <c r="BM7" i="23"/>
  <c r="BO7" i="23"/>
  <c r="BH7" i="23"/>
  <c r="BJ7" i="23" s="1"/>
  <c r="BC7" i="23"/>
  <c r="BE7" i="23" s="1"/>
  <c r="AX7" i="23"/>
  <c r="AZ7" i="23" s="1"/>
  <c r="AS7" i="23"/>
  <c r="AU7" i="23" s="1"/>
  <c r="AN7" i="23"/>
  <c r="AP7" i="23" s="1"/>
  <c r="AI7" i="23"/>
  <c r="AK7" i="23" s="1"/>
  <c r="AD7" i="23"/>
  <c r="AF7" i="23" s="1"/>
  <c r="Y7" i="23"/>
  <c r="AA7" i="23" s="1"/>
  <c r="T7" i="23"/>
  <c r="V7" i="23" s="1"/>
  <c r="O7" i="23"/>
  <c r="Q7" i="23" s="1"/>
  <c r="L7" i="23"/>
  <c r="G7" i="23"/>
  <c r="EQ6" i="23"/>
  <c r="ES6" i="23"/>
  <c r="EL6" i="23"/>
  <c r="EN6" i="23" s="1"/>
  <c r="EN15" i="23" s="1"/>
  <c r="EG6" i="23"/>
  <c r="EI6" i="23" s="1"/>
  <c r="EB6" i="23"/>
  <c r="ED6" i="23" s="1"/>
  <c r="DW6" i="23"/>
  <c r="DY6" i="23" s="1"/>
  <c r="DR6" i="23"/>
  <c r="DT6" i="23" s="1"/>
  <c r="DT15" i="23" s="1"/>
  <c r="DM6" i="23"/>
  <c r="DO6" i="23" s="1"/>
  <c r="DH6" i="23"/>
  <c r="DJ6" i="23" s="1"/>
  <c r="DC6" i="23"/>
  <c r="DE6" i="23"/>
  <c r="CX6" i="23"/>
  <c r="CZ6" i="23" s="1"/>
  <c r="BR6" i="23"/>
  <c r="BT6" i="23" s="1"/>
  <c r="BM6" i="23"/>
  <c r="BO6" i="23" s="1"/>
  <c r="BH6" i="23"/>
  <c r="BJ6" i="23" s="1"/>
  <c r="BC6" i="23"/>
  <c r="BE6" i="23" s="1"/>
  <c r="AX6" i="23"/>
  <c r="AZ6" i="23" s="1"/>
  <c r="AS6" i="23"/>
  <c r="AU6" i="23" s="1"/>
  <c r="AN6" i="23"/>
  <c r="AP6" i="23"/>
  <c r="AI6" i="23"/>
  <c r="AK6" i="23" s="1"/>
  <c r="AD6" i="23"/>
  <c r="AF6" i="23" s="1"/>
  <c r="Y6" i="23"/>
  <c r="AA6" i="23" s="1"/>
  <c r="T6" i="23"/>
  <c r="V6" i="23"/>
  <c r="O6" i="23"/>
  <c r="Q6" i="23" s="1"/>
  <c r="G6" i="23"/>
  <c r="G15" i="23" s="1"/>
  <c r="AK31" i="23"/>
  <c r="B26" i="23"/>
  <c r="E53" i="24"/>
  <c r="B51" i="25"/>
  <c r="DE76" i="23"/>
  <c r="B16" i="26"/>
  <c r="ED31" i="23"/>
  <c r="BJ76" i="23"/>
  <c r="EN22" i="23"/>
  <c r="BT51" i="23"/>
  <c r="AU60" i="23"/>
  <c r="BE76" i="23"/>
  <c r="EI76" i="23"/>
  <c r="AK76" i="23"/>
  <c r="DJ76" i="23"/>
  <c r="L31" i="23"/>
  <c r="BE22" i="23"/>
  <c r="BT22" i="23"/>
  <c r="BJ22" i="23"/>
  <c r="G51" i="23"/>
  <c r="BJ60" i="23"/>
  <c r="DY60" i="23"/>
  <c r="G71" i="23"/>
  <c r="BE71" i="23"/>
  <c r="BO71" i="23"/>
  <c r="AZ76" i="23"/>
  <c r="CZ76" i="23"/>
  <c r="EN76" i="23"/>
  <c r="AA76" i="23"/>
  <c r="DO76" i="23"/>
  <c r="D20" i="14"/>
  <c r="D21" i="14"/>
  <c r="D22" i="14"/>
  <c r="D23" i="14"/>
  <c r="D24" i="14"/>
  <c r="D25" i="14"/>
  <c r="D27" i="14"/>
  <c r="D29" i="14"/>
  <c r="D30" i="14"/>
  <c r="D31" i="14"/>
  <c r="D32" i="14"/>
  <c r="D33" i="14"/>
  <c r="D34" i="14"/>
  <c r="D9" i="14"/>
  <c r="D10" i="14"/>
  <c r="D12" i="14"/>
  <c r="D13" i="14"/>
  <c r="D15" i="14"/>
  <c r="E59" i="23"/>
  <c r="G59" i="23"/>
  <c r="ED22" i="23" l="1"/>
  <c r="Q22" i="23"/>
  <c r="BV28" i="23"/>
  <c r="B62" i="23"/>
  <c r="CZ60" i="23"/>
  <c r="ES76" i="23"/>
  <c r="BV75" i="23"/>
  <c r="B59" i="23"/>
  <c r="BV63" i="23"/>
  <c r="B19" i="23"/>
  <c r="BV11" i="23"/>
  <c r="B50" i="23"/>
  <c r="BT60" i="23"/>
  <c r="AF76" i="23"/>
  <c r="EN51" i="23"/>
  <c r="EN78" i="23" s="1"/>
  <c r="Q76" i="23"/>
  <c r="V15" i="23"/>
  <c r="V78" i="23" s="1"/>
  <c r="DJ15" i="23"/>
  <c r="CZ31" i="23"/>
  <c r="B28" i="23"/>
  <c r="BV53" i="23"/>
  <c r="BV73" i="23"/>
  <c r="BV76" i="23" s="1"/>
  <c r="B13" i="26" s="1"/>
  <c r="AP31" i="23"/>
  <c r="BV36" i="23"/>
  <c r="CF22" i="23"/>
  <c r="B20" i="23"/>
  <c r="BT31" i="23"/>
  <c r="AZ15" i="23"/>
  <c r="B13" i="23"/>
  <c r="CZ22" i="23"/>
  <c r="B21" i="23"/>
  <c r="Q71" i="23"/>
  <c r="BE15" i="23"/>
  <c r="BV25" i="23"/>
  <c r="L51" i="23"/>
  <c r="DY51" i="23"/>
  <c r="DO51" i="23"/>
  <c r="BV54" i="23"/>
  <c r="Q31" i="23"/>
  <c r="BV66" i="23"/>
  <c r="BV45" i="23"/>
  <c r="B12" i="23"/>
  <c r="BO31" i="23"/>
  <c r="BJ51" i="23"/>
  <c r="AK51" i="23"/>
  <c r="B37" i="23"/>
  <c r="BT15" i="23"/>
  <c r="BT78" i="23" s="1"/>
  <c r="BV18" i="23"/>
  <c r="ES31" i="23"/>
  <c r="AF31" i="23"/>
  <c r="B33" i="23"/>
  <c r="B48" i="23"/>
  <c r="ED51" i="23"/>
  <c r="ED78" i="23" s="1"/>
  <c r="Q60" i="23"/>
  <c r="G76" i="23"/>
  <c r="B74" i="23"/>
  <c r="B18" i="26"/>
  <c r="B21" i="26" s="1"/>
  <c r="E30" i="25"/>
  <c r="B40" i="23"/>
  <c r="AP51" i="23"/>
  <c r="DE15" i="23"/>
  <c r="DJ71" i="23"/>
  <c r="AZ31" i="23"/>
  <c r="B11" i="23"/>
  <c r="BV20" i="23"/>
  <c r="B27" i="23"/>
  <c r="AF51" i="23"/>
  <c r="B53" i="23"/>
  <c r="BV39" i="23"/>
  <c r="ES22" i="23"/>
  <c r="BV24" i="23"/>
  <c r="BV31" i="23" s="1"/>
  <c r="B9" i="26" s="1"/>
  <c r="BV21" i="23"/>
  <c r="B58" i="23"/>
  <c r="EI71" i="23"/>
  <c r="B38" i="23"/>
  <c r="AZ22" i="23"/>
  <c r="AA15" i="23"/>
  <c r="B10" i="23"/>
  <c r="B14" i="23"/>
  <c r="G60" i="23"/>
  <c r="BV62" i="23"/>
  <c r="BV74" i="23"/>
  <c r="B39" i="23"/>
  <c r="BE51" i="23"/>
  <c r="BO15" i="23"/>
  <c r="BV14" i="23"/>
  <c r="BV56" i="23"/>
  <c r="B41" i="23"/>
  <c r="ED15" i="23"/>
  <c r="AA60" i="23"/>
  <c r="AZ60" i="23"/>
  <c r="BV40" i="23"/>
  <c r="B47" i="23"/>
  <c r="AA51" i="23"/>
  <c r="CA60" i="23"/>
  <c r="CF51" i="23"/>
  <c r="CA22" i="23"/>
  <c r="B70" i="15"/>
  <c r="B72" i="15" s="1"/>
  <c r="CU15" i="23"/>
  <c r="CK76" i="23"/>
  <c r="CK71" i="23"/>
  <c r="CK15" i="23"/>
  <c r="CF71" i="23"/>
  <c r="CF60" i="23"/>
  <c r="B69" i="23"/>
  <c r="F50" i="17"/>
  <c r="F99" i="17" s="1"/>
  <c r="G53" i="24"/>
  <c r="B11" i="1" s="1"/>
  <c r="B68" i="23"/>
  <c r="CU76" i="23"/>
  <c r="BV38" i="23"/>
  <c r="B21" i="1"/>
  <c r="F93" i="27"/>
  <c r="E40" i="27"/>
  <c r="F12" i="27"/>
  <c r="F9" i="27"/>
  <c r="E31" i="27"/>
  <c r="E34" i="27"/>
  <c r="E38" i="27"/>
  <c r="F20" i="27"/>
  <c r="F26" i="27"/>
  <c r="F19" i="27"/>
  <c r="F18" i="27"/>
  <c r="E32" i="27"/>
  <c r="F28" i="27"/>
  <c r="F24" i="27"/>
  <c r="F5" i="27"/>
  <c r="F6" i="27"/>
  <c r="F21" i="27"/>
  <c r="E37" i="27"/>
  <c r="F8" i="27"/>
  <c r="E33" i="27"/>
  <c r="E36" i="27"/>
  <c r="F14" i="27"/>
  <c r="E35" i="27"/>
  <c r="F15" i="27"/>
  <c r="ES15" i="23"/>
  <c r="BV10" i="23"/>
  <c r="BJ15" i="23"/>
  <c r="BJ78" i="23" s="1"/>
  <c r="DO15" i="23"/>
  <c r="B8" i="23"/>
  <c r="AF15" i="23"/>
  <c r="AF78" i="23" s="1"/>
  <c r="AP15" i="23"/>
  <c r="DY15" i="23"/>
  <c r="DY78" i="23" s="1"/>
  <c r="L15" i="23"/>
  <c r="BV7" i="23"/>
  <c r="B76" i="23"/>
  <c r="B28" i="1" s="1"/>
  <c r="B7" i="23"/>
  <c r="AK15" i="23"/>
  <c r="B6" i="23"/>
  <c r="BV6" i="23"/>
  <c r="CZ15" i="23"/>
  <c r="B9" i="23"/>
  <c r="BV9" i="23"/>
  <c r="BV12" i="23"/>
  <c r="Q15" i="23"/>
  <c r="AU15" i="23"/>
  <c r="AU78" i="23" s="1"/>
  <c r="EI15" i="23"/>
  <c r="EI78" i="23" s="1"/>
  <c r="BV8" i="23"/>
  <c r="DO31" i="23"/>
  <c r="BV33" i="23"/>
  <c r="DO71" i="23"/>
  <c r="BV48" i="23"/>
  <c r="AA31" i="23"/>
  <c r="AA78" i="23" s="1"/>
  <c r="B25" i="23"/>
  <c r="B31" i="23" s="1"/>
  <c r="B8" i="1" s="1"/>
  <c r="B55" i="23"/>
  <c r="AZ51" i="23"/>
  <c r="BV37" i="23"/>
  <c r="BV42" i="23"/>
  <c r="AK71" i="23"/>
  <c r="G31" i="23"/>
  <c r="BV17" i="23"/>
  <c r="BV22" i="23" s="1"/>
  <c r="B8" i="26" s="1"/>
  <c r="DE51" i="23"/>
  <c r="DT22" i="23"/>
  <c r="B54" i="23"/>
  <c r="DT31" i="23"/>
  <c r="B30" i="23"/>
  <c r="BV57" i="23"/>
  <c r="DT60" i="23"/>
  <c r="L60" i="23"/>
  <c r="CZ51" i="23"/>
  <c r="DJ31" i="23"/>
  <c r="DJ78" i="23" s="1"/>
  <c r="AP22" i="23"/>
  <c r="BV43" i="23"/>
  <c r="DE71" i="23"/>
  <c r="DO60" i="23"/>
  <c r="BV50" i="23"/>
  <c r="B35" i="23"/>
  <c r="B51" i="23" s="1"/>
  <c r="B9" i="1" s="1"/>
  <c r="BO76" i="23"/>
  <c r="BO78" i="23" s="1"/>
  <c r="BV44" i="23"/>
  <c r="B45" i="23"/>
  <c r="B46" i="23"/>
  <c r="F74" i="17"/>
  <c r="F100" i="17" s="1"/>
  <c r="BV47" i="23"/>
  <c r="B44" i="23"/>
  <c r="F18" i="16"/>
  <c r="F33" i="16" s="1"/>
  <c r="B30" i="1" s="1"/>
  <c r="BV41" i="23"/>
  <c r="F26" i="17"/>
  <c r="F98" i="17" s="1"/>
  <c r="B42" i="23"/>
  <c r="CU71" i="23"/>
  <c r="CP51" i="23"/>
  <c r="CK31" i="23"/>
  <c r="CK22" i="23"/>
  <c r="CK78" i="23" s="1"/>
  <c r="CK85" i="23" s="1"/>
  <c r="CA76" i="23"/>
  <c r="CA71" i="23"/>
  <c r="CA51" i="23"/>
  <c r="CP60" i="23"/>
  <c r="CP15" i="23"/>
  <c r="CF76" i="23"/>
  <c r="BV65" i="23"/>
  <c r="CA31" i="23"/>
  <c r="B64" i="23"/>
  <c r="B17" i="23"/>
  <c r="CU51" i="23"/>
  <c r="CF15" i="23"/>
  <c r="CP31" i="23"/>
  <c r="CP22" i="23"/>
  <c r="CK60" i="23"/>
  <c r="BV64" i="23"/>
  <c r="BV71" i="23" s="1"/>
  <c r="B12" i="26" s="1"/>
  <c r="B65" i="23"/>
  <c r="CU60" i="23"/>
  <c r="CU78" i="23" s="1"/>
  <c r="CU85" i="23" s="1"/>
  <c r="CU22" i="23"/>
  <c r="CP76" i="23"/>
  <c r="CK51" i="23"/>
  <c r="CA15" i="23"/>
  <c r="B66" i="23"/>
  <c r="CU31" i="23"/>
  <c r="CP71" i="23"/>
  <c r="CF31" i="23"/>
  <c r="Q78" i="23" l="1"/>
  <c r="BV60" i="23"/>
  <c r="B11" i="26" s="1"/>
  <c r="DO78" i="23"/>
  <c r="G78" i="23"/>
  <c r="DE78" i="23"/>
  <c r="B60" i="23"/>
  <c r="B10" i="1" s="1"/>
  <c r="AZ78" i="23"/>
  <c r="ES78" i="23"/>
  <c r="BE78" i="23"/>
  <c r="DT78" i="23"/>
  <c r="F41" i="27"/>
  <c r="F95" i="27" s="1"/>
  <c r="B32" i="1" s="1"/>
  <c r="BV15" i="23"/>
  <c r="CP78" i="23"/>
  <c r="CP85" i="23" s="1"/>
  <c r="B15" i="23"/>
  <c r="L78" i="23"/>
  <c r="CZ78" i="23"/>
  <c r="CA78" i="23"/>
  <c r="CA85" i="23" s="1"/>
  <c r="CF78" i="23"/>
  <c r="BV51" i="23"/>
  <c r="B10" i="26" s="1"/>
  <c r="B14" i="26" s="1"/>
  <c r="B22" i="26" s="1"/>
  <c r="B24" i="26" s="1"/>
  <c r="B26" i="1" s="1"/>
  <c r="AK78" i="23"/>
  <c r="A20" i="23"/>
  <c r="B22" i="23"/>
  <c r="B7" i="1" s="1"/>
  <c r="AP78" i="23"/>
  <c r="B71" i="23"/>
  <c r="B38" i="1" l="1"/>
  <c r="B40" i="1" s="1"/>
  <c r="CF85" i="23"/>
  <c r="BV85" i="23" s="1"/>
  <c r="BV86" i="23" s="1"/>
  <c r="CF82" i="23"/>
  <c r="CF83" i="23" s="1"/>
  <c r="B6" i="1"/>
  <c r="B78" i="23"/>
  <c r="BV78" i="23"/>
  <c r="B7" i="26"/>
  <c r="B12" i="1" l="1"/>
  <c r="B22" i="1" l="1"/>
  <c r="M14" i="1"/>
  <c r="B24" i="1" l="1"/>
  <c r="B36" i="1" l="1"/>
  <c r="B42" i="1" s="1"/>
</calcChain>
</file>

<file path=xl/sharedStrings.xml><?xml version="1.0" encoding="utf-8"?>
<sst xmlns="http://schemas.openxmlformats.org/spreadsheetml/2006/main" count="1016" uniqueCount="621">
  <si>
    <t>TABLE B.1 - TOTAL NSRS PRICE SUMMARY</t>
  </si>
  <si>
    <r>
      <t xml:space="preserve">TABLE B.1 provides a summary of the Total Base Proposal Price broken down by NDOT (Table B.1.A), NV Energy (Table B.1.B) and Washoe County (Table B.1.C) equipment and services. </t>
    </r>
    <r>
      <rPr>
        <sz val="12"/>
        <color rgb="FFC00000"/>
        <rFont val="Calibri"/>
        <family val="2"/>
      </rPr>
      <t>Please see NSRS RFP Pricing Instructions for filling out this pricing spreadsheet.</t>
    </r>
  </si>
  <si>
    <t>TABLE B.1.C - WASHOE COUNTY TOTAL PRICE SUMMARY</t>
  </si>
  <si>
    <t>System Equipment</t>
  </si>
  <si>
    <t>Discounted Price</t>
  </si>
  <si>
    <t>System Control Equipment, Software, and Licensing</t>
  </si>
  <si>
    <t>Network Monitoring and Fault Management Equipment, Software, and Licensing</t>
  </si>
  <si>
    <t>Radio System Equipment, Software, and Licensing</t>
  </si>
  <si>
    <t>Antenna Systems</t>
  </si>
  <si>
    <t>Networking Equipment, Software, and Licensing</t>
  </si>
  <si>
    <t>Spare Equipment</t>
  </si>
  <si>
    <t xml:space="preserve">TOTAL EQUIPMENT PRICE </t>
  </si>
  <si>
    <t>Deployment Services</t>
  </si>
  <si>
    <t xml:space="preserve">System Equipment Services </t>
  </si>
  <si>
    <t>System Engineering</t>
  </si>
  <si>
    <t>Migration Services</t>
  </si>
  <si>
    <t>Project Management</t>
  </si>
  <si>
    <t>System Training</t>
  </si>
  <si>
    <t>Performance Bond</t>
  </si>
  <si>
    <t>Included</t>
  </si>
  <si>
    <t>TOTAL SERVICES PRICE</t>
  </si>
  <si>
    <t>WASHOE BASE PRICE RF Infrastructure and Services</t>
  </si>
  <si>
    <t>Additional Discount - Infrastructure (over 26% NASPO Discount)</t>
  </si>
  <si>
    <t>WASHOE DISCOUNTED BASE PRICE</t>
  </si>
  <si>
    <t>WASHOE COUNTY GREENFIELD SITES  PRICE - Table B.11                    (without Civils and Microwave)</t>
  </si>
  <si>
    <t xml:space="preserve">Microwave Equipment, Software, and Licensing </t>
  </si>
  <si>
    <t>WASHOE COUNTY DISPATCH EQUIPMENT AND SERVICES                 (without Microwave)</t>
  </si>
  <si>
    <t>WASHOE COUNTY SUBSCRIBER EQUIPMENT AND SERVICES</t>
  </si>
  <si>
    <t>WASHOE EXTENDED WARRANTY SUPPPORT</t>
  </si>
  <si>
    <t>TOTAL WASHOE COUNTY SYSTEM BASE CONTRACT PRICE</t>
  </si>
  <si>
    <t>Site Infrastructure - ALLOWANCE (Civils)</t>
  </si>
  <si>
    <t>Site Development - ALLOWANCE (Civils)</t>
  </si>
  <si>
    <t>TOTAL WASHOE COUNTY SYSTEM CIVILS ALLOWANCE</t>
  </si>
  <si>
    <t>TOTAL WASHOE SYSTEM CONTRACT PRICE without Maintenance</t>
  </si>
  <si>
    <t>PRICES DO NOT INCLUDE ANY SALES TAXES</t>
  </si>
  <si>
    <t>TABLE B.8 - WASHOE COUNTY SYSTEM INFRASTRUCTURE PRICES</t>
  </si>
  <si>
    <t>ALL SITES TOTAL</t>
  </si>
  <si>
    <t>Site ---&gt;</t>
  </si>
  <si>
    <t>NOC</t>
  </si>
  <si>
    <t>Edison</t>
  </si>
  <si>
    <t>Biltmore-Tahoe</t>
  </si>
  <si>
    <t>Snowflake Lodge - Tahoe</t>
  </si>
  <si>
    <t>Slide Mountain</t>
  </si>
  <si>
    <t>Mount Rose</t>
  </si>
  <si>
    <t>Red Peak - Metro</t>
  </si>
  <si>
    <t>Peavine Ridge - Metro (NCRN)</t>
  </si>
  <si>
    <t>Virginia Peak</t>
  </si>
  <si>
    <t>Marble Bluff</t>
  </si>
  <si>
    <t>Poito WC (Valley)</t>
  </si>
  <si>
    <t>Fox WC</t>
  </si>
  <si>
    <t>Chimney Peak</t>
  </si>
  <si>
    <t xml:space="preserve">SITE 14 </t>
  </si>
  <si>
    <t>GREENFIELD SITES</t>
  </si>
  <si>
    <t>49 Mountain</t>
  </si>
  <si>
    <t>Yellow Peak</t>
  </si>
  <si>
    <t>Red Rock</t>
  </si>
  <si>
    <t>Truckee Station 18</t>
  </si>
  <si>
    <t>Smokey Quartz</t>
  </si>
  <si>
    <t>Ophir Peak</t>
  </si>
  <si>
    <t>SITE 7 NAME</t>
  </si>
  <si>
    <t>SITE 8 NAME</t>
  </si>
  <si>
    <t>SITE 9 NAME</t>
  </si>
  <si>
    <t>SITE 10 NAME</t>
  </si>
  <si>
    <t>SITE 11 NAME</t>
  </si>
  <si>
    <t>SITE 12 NAME</t>
  </si>
  <si>
    <t>SITE 13 NAME</t>
  </si>
  <si>
    <t>SITE 14 NAME</t>
  </si>
  <si>
    <t>SITE 15 NAME</t>
  </si>
  <si>
    <t>Site Description ---&gt;</t>
  </si>
  <si>
    <t>Secondary VIDA HA Switching Center</t>
  </si>
  <si>
    <t>8 Channel Simulcast (DCP)</t>
  </si>
  <si>
    <t>12 Channel Simulcast (Was 14) (DCP)</t>
  </si>
  <si>
    <t>16 Channel Simulcast (Re-using Some RF Equip)</t>
  </si>
  <si>
    <t>10 Channel Multisite (Was 12) (DCP)</t>
  </si>
  <si>
    <t>6 Channel Multisite / NCRN</t>
  </si>
  <si>
    <t>5 Channel Multisite</t>
  </si>
  <si>
    <t>Microwave Only</t>
  </si>
  <si>
    <t>Transportable Site</t>
  </si>
  <si>
    <t>TOTAL</t>
  </si>
  <si>
    <t>3 Channel Multicast</t>
  </si>
  <si>
    <t>4 Channel Multicast</t>
  </si>
  <si>
    <t>8 Channel Multicast</t>
  </si>
  <si>
    <t>12 Channel Multicast</t>
  </si>
  <si>
    <t>SITE 7 DESCRIPTION</t>
  </si>
  <si>
    <t>SITE 8 DESCRIPTION</t>
  </si>
  <si>
    <t>SITE 9 DESCRIPTION</t>
  </si>
  <si>
    <t>SITE 10 DESCRIPTION</t>
  </si>
  <si>
    <t>SITE 11 DESCRIPTION</t>
  </si>
  <si>
    <t>SITE 12 DESCRIPTION</t>
  </si>
  <si>
    <t>SITE 13 DESCRIPTION</t>
  </si>
  <si>
    <t>SITE 14 DESCRIPTION</t>
  </si>
  <si>
    <t>SITE 15 DESCRIPTION</t>
  </si>
  <si>
    <t>Subsystem Category</t>
  </si>
  <si>
    <t>Equipment Discounted</t>
  </si>
  <si>
    <t>Unit Price</t>
  </si>
  <si>
    <t>Qty</t>
  </si>
  <si>
    <t>Extended Price</t>
  </si>
  <si>
    <t>Discount %</t>
  </si>
  <si>
    <t>Items highlighted in yellow are changes from RFP submission.</t>
  </si>
  <si>
    <t>Secondary NSC Premier Server with SW &amp; Lics</t>
  </si>
  <si>
    <t xml:space="preserve">Primary VIDA Connect Core with SW &amp; Lics </t>
  </si>
  <si>
    <t>Distributed Control Point Licenses</t>
  </si>
  <si>
    <t>ISSI Gateway and Licenses</t>
  </si>
  <si>
    <t>Asset Manager - CommSHOP 360</t>
  </si>
  <si>
    <t>Logging Recorder - WCSD (OPTIONAL)</t>
  </si>
  <si>
    <t>Logging Recorder - WC</t>
  </si>
  <si>
    <t xml:space="preserve">  </t>
  </si>
  <si>
    <t>SUBTOTAL</t>
  </si>
  <si>
    <t>Network Sentry - Multisite</t>
  </si>
  <si>
    <t>Network Sentry - Simulcast Site</t>
  </si>
  <si>
    <t>Network Sentry - Transportable Site</t>
  </si>
  <si>
    <t>Radio System Equipment, Software and Licensing</t>
  </si>
  <si>
    <t>Site Interface Equipment</t>
  </si>
  <si>
    <t>MASTR V P25 Trunked Base Station</t>
  </si>
  <si>
    <t>84" Open Rack (Seismic)</t>
  </si>
  <si>
    <t>Site Interface Equipment - Conventional</t>
  </si>
  <si>
    <t>TB9435 Conventional Repeater</t>
  </si>
  <si>
    <t>P25 Combiner - 4 channel</t>
  </si>
  <si>
    <t>P25 Combiner - 6 channel</t>
  </si>
  <si>
    <t>P25 Combiner - 8 channel</t>
  </si>
  <si>
    <t>P25 Combiner - 10 channel</t>
  </si>
  <si>
    <t>P25 Multicoupler - 8 Port</t>
  </si>
  <si>
    <t>P25 Multicoupler - 16 Port</t>
  </si>
  <si>
    <t>Tower Top Amplifier</t>
  </si>
  <si>
    <t>P25 Cables, Connectors, Filters</t>
  </si>
  <si>
    <t>P25 Antennas</t>
  </si>
  <si>
    <t>Conventional Combiner - 800MHz</t>
  </si>
  <si>
    <t>Conventional Combiner - VHF</t>
  </si>
  <si>
    <t>Conventional Multicoupler</t>
  </si>
  <si>
    <t>Conventional Antenna - 800 MHz</t>
  </si>
  <si>
    <t>Conventional Antenna - VHF</t>
  </si>
  <si>
    <t>Conventional Cables, Connectors, Filters</t>
  </si>
  <si>
    <t>P25 Multicoupler - 24 Port</t>
  </si>
  <si>
    <t>P25 Combiner - 7 channel</t>
  </si>
  <si>
    <t>P25 Combiner - 5 channel</t>
  </si>
  <si>
    <t>Interop Gateway w/24 talkpaths</t>
  </si>
  <si>
    <t>Interop Gateway w/30 talkpaths</t>
  </si>
  <si>
    <t>Cisco Switch DC 24-Port</t>
  </si>
  <si>
    <t>UPS</t>
  </si>
  <si>
    <t>Integrated Trailer</t>
  </si>
  <si>
    <t>Interop Gateway w/8 talkpaths</t>
  </si>
  <si>
    <t>Site Infrastructure</t>
  </si>
  <si>
    <t>Tower, with Foundation &amp; Construction</t>
  </si>
  <si>
    <t>Shelter, with Foundation &amp; Construction</t>
  </si>
  <si>
    <t>Site Development - Roads, Fencing, Land Clearing</t>
  </si>
  <si>
    <t>Generator, 40KW with Foundation and LP Tank</t>
  </si>
  <si>
    <t>Electrical Work</t>
  </si>
  <si>
    <t>DC Power</t>
  </si>
  <si>
    <t>AC Unit</t>
  </si>
  <si>
    <t>Permits, Drawings, Site Acq, Tower Analysis</t>
  </si>
  <si>
    <t>SUBTOTAL (ALLOWANCE)</t>
  </si>
  <si>
    <t>Microwave Equipment, Software, and Licensing</t>
  </si>
  <si>
    <t>Microwave Hop</t>
  </si>
  <si>
    <t>Optional Site On Wheels MW Equip</t>
  </si>
  <si>
    <t>TABLE B.9 - WASHOE COUNTY RECOMMENDED SPARE EQUIPMENT</t>
  </si>
  <si>
    <t>Itemize the recommended spare equipment, test equipment, and spare parts to be purchased by the Member with the Base Proposal system (initial outfitting). Add additional rows as necessary.</t>
  </si>
  <si>
    <r>
      <rPr>
        <b/>
        <sz val="12"/>
        <rFont val="Calibri"/>
        <family val="2"/>
      </rPr>
      <t>EXAMPLES OF ITEMS ARE:</t>
    </r>
    <r>
      <rPr>
        <sz val="12"/>
        <rFont val="Calibri"/>
        <family val="2"/>
      </rPr>
      <t xml:space="preserve">  complete base radios, System and GPS antennas, field replaceable units, circuit boards, power supplies, routers, switches, parts, test equipment, calibration equipment, diagnostic equipment, and repair kits.</t>
    </r>
  </si>
  <si>
    <t>Part Number</t>
  </si>
  <si>
    <t xml:space="preserve">Item </t>
  </si>
  <si>
    <t>MASV-800M1-A</t>
  </si>
  <si>
    <t>STATION,MASTR V,P25T,800 MHZ,799-817 RX</t>
  </si>
  <si>
    <t>MASV-700M1</t>
  </si>
  <si>
    <t>Station,MASTR V,P25T,700MHz</t>
  </si>
  <si>
    <t>Several (Set)</t>
  </si>
  <si>
    <t>Site Interface Equipment - P25</t>
  </si>
  <si>
    <t>SAMD7Y-DC</t>
  </si>
  <si>
    <t>KIT, NET SENTRY, CNTL/DATA, DC PWR,WIN10</t>
  </si>
  <si>
    <t>SV-PS2P-DC</t>
  </si>
  <si>
    <t>Power Supply,-48V,DC,MASTR V</t>
  </si>
  <si>
    <t>SV-AW5L</t>
  </si>
  <si>
    <t>Power Amplifier,Linear,700 MHz</t>
  </si>
  <si>
    <t>Antenna Equipment</t>
  </si>
  <si>
    <t>E75-4000-007</t>
  </si>
  <si>
    <t>SURGE SUPPRESSOR,800-2500MHZ BROADBAND</t>
  </si>
  <si>
    <t>DS7A06F36U6D .</t>
  </si>
  <si>
    <t>746-869 MHz 6 dB Gain Omni Fiberglass Antenna with DIN connector</t>
  </si>
  <si>
    <t>DS7A08F36UD .</t>
  </si>
  <si>
    <t>746-869 MHz 8 dB Gain Omni Fiberglass Antenna with DIN connector</t>
  </si>
  <si>
    <t>DS7C10F36U-D .</t>
  </si>
  <si>
    <t>764-869 MHz 10 dB Gain Omni Fiberglass Antenna with DIN connector</t>
  </si>
  <si>
    <t>DS7A06F36U3D .</t>
  </si>
  <si>
    <t>746-869 MHz 6 dB Gain Omni Fiberglass Antenna with DIN connector 3 Degree downtilt</t>
  </si>
  <si>
    <t>DS7C10F36U3D .</t>
  </si>
  <si>
    <t>764-869 MHz 10 dB Gain Omni Fiberglass Antenna with DIN connector 3 Degree downtilt</t>
  </si>
  <si>
    <t>SC479-HF1LDF(E5608)(D02)</t>
  </si>
  <si>
    <t>COLL OMNI 746-869 MHz 9 DB NULL FILL</t>
  </si>
  <si>
    <t>SC432D-HF6LDF(D00-i40-G06)</t>
  </si>
  <si>
    <t>SC432 DUAL 746-869 MHZ 6 DBD GN 40</t>
  </si>
  <si>
    <t xml:space="preserve">SC412-HF2LDF(D01-E5608) </t>
  </si>
  <si>
    <t>SC412 746-869 MHZ 11.5 DBD NUL FILL</t>
  </si>
  <si>
    <t>SC412-HF2LDF(E5608)</t>
  </si>
  <si>
    <t>SC412 746-869 MHZ 11.5 DBD GN NULL</t>
  </si>
  <si>
    <t>DSCC75-10DS .</t>
  </si>
  <si>
    <t>763-776 MHz 10 Channel Ceramic Cavity Combiner with SMARTtune Power Monitor DIN output</t>
  </si>
  <si>
    <t>DSCC85-10DS .</t>
  </si>
  <si>
    <t>851-869 MHz 10 Channel Ceramic Cavity Combiner with SMARTtune Power Monitor DIN Output</t>
  </si>
  <si>
    <t>CP00921 .</t>
  </si>
  <si>
    <t>8 Port Receiver Multicoupler</t>
  </si>
  <si>
    <t>CP00921, CP11151 .</t>
  </si>
  <si>
    <t>16 Port Receiver Multicoupler</t>
  </si>
  <si>
    <t>CP00921, CP11151, CP01102 .</t>
  </si>
  <si>
    <t>24 Port Receiver Multicoupler</t>
  </si>
  <si>
    <t>CP00732 .</t>
  </si>
  <si>
    <t>MANG-GTWY</t>
  </si>
  <si>
    <t>Interop Gateway</t>
  </si>
  <si>
    <t>Simulcast Equipment</t>
  </si>
  <si>
    <t>SC-VTXP25-DC</t>
  </si>
  <si>
    <t>MASTR V IP Simulcast,Tx Site,Comm Equip</t>
  </si>
  <si>
    <t>SC-MD7B-DC</t>
  </si>
  <si>
    <t>ASSY,CONTROLLER,SITEPRO,MME W/ CABLES DC</t>
  </si>
  <si>
    <t>SA-MD6H</t>
  </si>
  <si>
    <t>OSCILLATOR, 10MHZ REF,-12VDC,6 PORT</t>
  </si>
  <si>
    <t>Core Equipment</t>
  </si>
  <si>
    <t>MANS-CP9B</t>
  </si>
  <si>
    <t>Netclock,GPS Master Clock</t>
  </si>
  <si>
    <t>NS-PNSJ</t>
  </si>
  <si>
    <t>SERVER, VIDA PREMIER, SR10A.4</t>
  </si>
  <si>
    <t>VS-CN1J</t>
  </si>
  <si>
    <t>SERVER,UNITRENDS RS606 BACKUP APPLIANCE</t>
  </si>
  <si>
    <t>Routing Equipment</t>
  </si>
  <si>
    <t>VS-CR90</t>
  </si>
  <si>
    <t>ROUTER,ISR4321 WSEC BDL LIC</t>
  </si>
  <si>
    <t>VS-CR72</t>
  </si>
  <si>
    <t>ROUTER,ISR4331 AX APP &amp;SEC LIC</t>
  </si>
  <si>
    <t>VSCR28</t>
  </si>
  <si>
    <t>Router,1921,Advanced Security,AC Power</t>
  </si>
  <si>
    <t>VS-CR94</t>
  </si>
  <si>
    <t>RTR 1921 DATA AC</t>
  </si>
  <si>
    <t>VS-CU5C</t>
  </si>
  <si>
    <t>SWITCH,CISCO ME 3400E,DC,24-PORT</t>
  </si>
  <si>
    <t>VS-CU6G</t>
  </si>
  <si>
    <t>MODULE,CISCO EHWIC-4ESG 4-PORT GIG INT</t>
  </si>
  <si>
    <t>VS-CR1G</t>
  </si>
  <si>
    <t>ROUTER,ISR4221-SEC/K9</t>
  </si>
  <si>
    <t>VSCU3H</t>
  </si>
  <si>
    <t>SWITCH,CISCO 2960 PLUS</t>
  </si>
  <si>
    <t>VSMA6N</t>
  </si>
  <si>
    <t>KIT,MTG HDWR,CISCO 2960 MASTR III/V CAB</t>
  </si>
  <si>
    <t>VS-CR1F</t>
  </si>
  <si>
    <t>ROUTER,ISR4221/K9</t>
  </si>
  <si>
    <t>VS-CU7Z</t>
  </si>
  <si>
    <t>MODULE,NIM 4PORT LAYER2 GE</t>
  </si>
  <si>
    <t>VS-CR92</t>
  </si>
  <si>
    <t>SWITCH,CATALYST 3650 24P IP</t>
  </si>
  <si>
    <t>VS-CU7Y</t>
  </si>
  <si>
    <t>MODULE,SFP GBIC</t>
  </si>
  <si>
    <t>VSCR29</t>
  </si>
  <si>
    <t>Router,1921,Advanced Security,DC Power</t>
  </si>
  <si>
    <t>VS-CU5H</t>
  </si>
  <si>
    <t>CISCO MODULE,SX MULTIMODE,FIBR</t>
  </si>
  <si>
    <t>TOTAL TEST EQUIPMENT AND SPARES COST&gt;&gt;&gt;&gt;</t>
  </si>
  <si>
    <t>TABLE B.10.A - WASHOE COUNTY BASE PROPOSAL SERVICES PRICES</t>
  </si>
  <si>
    <t>TABLE B.10.B - WASHOE COUNTY GREENFIELD SITES SERVICES PRICES</t>
  </si>
  <si>
    <t>Description</t>
  </si>
  <si>
    <t>Services Prices</t>
  </si>
  <si>
    <t>System Equipment Services</t>
  </si>
  <si>
    <t>Staging Acceptance Testing</t>
  </si>
  <si>
    <t>Delivery/Shipping</t>
  </si>
  <si>
    <t>Installation (including all equipment, antenna systems, old equipment removal, etc.)</t>
  </si>
  <si>
    <t>Installation (including all equipment, antenna systems, towers, shelters, etc.)</t>
  </si>
  <si>
    <t>Other - specify</t>
  </si>
  <si>
    <t>System Equipment Services Subtotal</t>
  </si>
  <si>
    <t>System/Network Engineering (including coverage analysis and testing, documentation, system acceptance testing, etc.)</t>
  </si>
  <si>
    <t>Interference Analyses</t>
  </si>
  <si>
    <t>incl above</t>
  </si>
  <si>
    <t>FCC License Preparation</t>
  </si>
  <si>
    <t>Frequency Coordination</t>
  </si>
  <si>
    <t>Structural Analyses</t>
  </si>
  <si>
    <t>Structural Analyses {Permitting and Soils Analysis}</t>
  </si>
  <si>
    <t>System Engineering Subtotal</t>
  </si>
  <si>
    <t>Site Development</t>
  </si>
  <si>
    <t>Site Development (Site Mgrs and Site Surveys)</t>
  </si>
  <si>
    <t>Site Development Subtotal</t>
  </si>
  <si>
    <t>Migration Services (Included in System Engineering and Project Management)</t>
  </si>
  <si>
    <t>Migration Services Subtotal</t>
  </si>
  <si>
    <t>Project Management Subtotal</t>
  </si>
  <si>
    <t>TOTAL SERVICES</t>
  </si>
  <si>
    <t>Training,Customized</t>
  </si>
  <si>
    <t>Training,Web-Based</t>
  </si>
  <si>
    <t>Training,P25 Structuring Wrkshp</t>
  </si>
  <si>
    <t>Training,Unified Admin System</t>
  </si>
  <si>
    <t>Training-Regional Network Manager</t>
  </si>
  <si>
    <t>Training,Over The Air Rekeying</t>
  </si>
  <si>
    <t>Training,Radio Programming</t>
  </si>
  <si>
    <t>TRAINING,ISSI CONFIGURATION &amp; ADMIN</t>
  </si>
  <si>
    <t>Training,P25 Sys Maintenance</t>
  </si>
  <si>
    <t>Training-Network Operation and Maint.</t>
  </si>
  <si>
    <t>Training,MASTR V Maintenance</t>
  </si>
  <si>
    <t>Training,P25 Simulcast System Maint</t>
  </si>
  <si>
    <t>Training,RF Maintenance</t>
  </si>
  <si>
    <t>Training,Console Configuration Support</t>
  </si>
  <si>
    <t>Training,User Equipment Operation</t>
  </si>
  <si>
    <t>System Training Subtotal</t>
  </si>
  <si>
    <t>TABLE B.11 - TOTAL GREENFIELD PRICE SUMMARY</t>
  </si>
  <si>
    <t>TABLE B.11 provides a summary of the Greenfield Sites Price broken down by NDOT (Table B.11.A), NV Energy (Table B.11.B) and Washoe County (Table B.11.C) equipment and services.</t>
  </si>
  <si>
    <t>TABLE B.11.C - WASHOE COUNTY TOTAL PRICE SUMMARY</t>
  </si>
  <si>
    <t>Site Infrastructure - NTE ESTIMATE (Civils)</t>
  </si>
  <si>
    <t>WASHOE COUNTY PROPOSAL PRICE</t>
  </si>
  <si>
    <t>Discount</t>
  </si>
  <si>
    <t>WASHOE COUNTY DISCOUNTED PROPOSAL PRICE</t>
  </si>
  <si>
    <t>TABLE B.12 - SYSTEM LIFECYCLE SUPPORT</t>
  </si>
  <si>
    <t>These items and services will be considered for purchase in the future (but not delivered as part of initial system replacement project).</t>
  </si>
  <si>
    <t>The Members plan on purchasing items and services at a fixed discount rate off of the List Price published at the time of purchase.</t>
  </si>
  <si>
    <t>Table B.12.A - FUTURE EQUIPMENT AND COMPONENTS</t>
  </si>
  <si>
    <r>
      <rPr>
        <b/>
        <sz val="12"/>
        <rFont val="Calibri"/>
        <family val="2"/>
      </rPr>
      <t xml:space="preserve">EXAMPLES OF EQUIPMENT AND COMPONENT ITEMS ARE: </t>
    </r>
    <r>
      <rPr>
        <sz val="12"/>
        <rFont val="Calibri"/>
        <family val="2"/>
      </rPr>
      <t xml:space="preserve"> complete base radios, antenna systems (antenna, transmission line, etc.), field replaceable units, circuit boards, power supplies, routers, switches, parts, test equipment, calibration equipment, diagnostic equipment, repair kits, software, software licensing, etc. </t>
    </r>
  </si>
  <si>
    <t>List Price</t>
  </si>
  <si>
    <t>Fixed Discount % Off of List Price</t>
  </si>
  <si>
    <t>RF Infrastructure Equipment and Parts</t>
  </si>
  <si>
    <t>Per Catalog</t>
  </si>
  <si>
    <t>Base Stations, Site Interface Equipment, Routers, Switches</t>
  </si>
  <si>
    <t>User Radios and Parts</t>
  </si>
  <si>
    <t>See Table in Contract</t>
  </si>
  <si>
    <t>Radios, Accessories, Features</t>
  </si>
  <si>
    <t>Antenna Systems and Parts</t>
  </si>
  <si>
    <t>Software and Licenses</t>
  </si>
  <si>
    <t>Table B.12.B - FUTURE  SERVICES</t>
  </si>
  <si>
    <r>
      <t>EXAMPLES OF FUTURE SERVICES ARE:</t>
    </r>
    <r>
      <rPr>
        <sz val="12"/>
        <rFont val="Calibri"/>
        <family val="2"/>
      </rPr>
      <t xml:space="preserve"> engineering services, field support services, project management, etc. Specify any daily or hourly rates and applicable discounts.</t>
    </r>
  </si>
  <si>
    <t>List Price                      (Hourly Rate-Fully Burdened)</t>
  </si>
  <si>
    <t>SERVICE, RF INTEGRITY Daily rate for Engineering services to predict RF coverage from designated transmission site.</t>
  </si>
  <si>
    <t>SERVICE, HARRIS SYSTEM ENGINEERING Daily rate for System Engineering Services.</t>
  </si>
  <si>
    <t>SERVICE, HARRIS SENIOR SYSTEM ENGINEERING Daily rate for Senior System Engineering Services</t>
  </si>
  <si>
    <t>SERVICE, HARRIS PROJECT MANAGEMENT Daily rate for Project Management to assist implementing customer projects.</t>
  </si>
  <si>
    <t>SERVICE, HARRIS SENIOR PROJECT MANAGEMENT Daily rate for Senior Project Management to assist implementing customer projects.</t>
  </si>
  <si>
    <t>SERVICE, DATA SYSTEM ENGINEER Daily rate for Data System Engineer</t>
  </si>
  <si>
    <t>SERVICE, SENIOR SYSTEM TECHNICIAN, DAILY RATE Daily rate for Senior Technicians to perform installation, testing, system alignment or evaluate special applications.  Travel and living will be billed inaddition to this fee</t>
  </si>
  <si>
    <t>SERVICE, SYSTEM TECHNICIAN, DAILY RATE Daily rate for Technicians to perform installation, testing, system alignment or evaluate special applications.  Travel and living will be billed inaddition to this fee</t>
  </si>
  <si>
    <t>TABLE B.13 - SYSTEM POST-WARRANTY SUPPORT</t>
  </si>
  <si>
    <t>This Table is for SYSTEM POST-WARRANTY SUPPORT</t>
  </si>
  <si>
    <t>Table B.13.G - WASHOE COUNTY TECHNICAL SUPPORT SERVICE</t>
  </si>
  <si>
    <t>List the price for TECHNICAL SUPPORT that commences upon expiration of the one-year warranty.</t>
  </si>
  <si>
    <t>Services Price</t>
  </si>
  <si>
    <t>Technical Support for Year 2 - Extended Warranty</t>
  </si>
  <si>
    <t>Technical Support for Year 3 - Extended  Warranty</t>
  </si>
  <si>
    <t>Technical Support for Year 4 - Maintenance</t>
  </si>
  <si>
    <t>Technical Support for Year 5 - Maintenance</t>
  </si>
  <si>
    <t>Technical Support for Year 6 - Maintenance</t>
  </si>
  <si>
    <t>Technical Support for Year 7 - Maintenance</t>
  </si>
  <si>
    <t>Technical Support for Year 8 - Maintenance</t>
  </si>
  <si>
    <t>Technical Support for Year 9 - Maintenance</t>
  </si>
  <si>
    <t>Technical Support for Year 10 - Maintenance</t>
  </si>
  <si>
    <t>TOTAL Technical Support for Years 2-10</t>
  </si>
  <si>
    <t>Table B.13.H - WASHOE COUNTY SOFTWARE SUPPORT AND UPGRADES</t>
  </si>
  <si>
    <t>List the price for SOFTWARE SUPPORT AND UPGRADES that are available after the one-year warranty period ends.</t>
  </si>
  <si>
    <t>Software Support and Upgrades for Year 2 - Extended Warranty</t>
  </si>
  <si>
    <t>Software Support and Upgrades for Year 3 - Extended  Warranty</t>
  </si>
  <si>
    <t>Software Support and Upgrades for Year 4 - Maintenance</t>
  </si>
  <si>
    <t>Software Support and Upgrades for Year 5 - Maintenance</t>
  </si>
  <si>
    <t>Software Support and Upgrades for Year 6 - Maintenance</t>
  </si>
  <si>
    <t>Software Support and Upgrades for Year 7 - Maintenance</t>
  </si>
  <si>
    <t>Software Support and Upgrades for Year 8 - Maintenance</t>
  </si>
  <si>
    <t>Software Support and Upgrades for Year 9 - Maintenance</t>
  </si>
  <si>
    <t>Software Support and Upgrades for Year 10 - Maintenance</t>
  </si>
  <si>
    <t>TOTAL Software Support and Upgrades for Years 2-10</t>
  </si>
  <si>
    <t>Table B.13.I - WASHOE COUNTY EXTENDED WARRANTY</t>
  </si>
  <si>
    <t>List prices for EXTENDED WARRANTY available after the full one-year warranty.</t>
  </si>
  <si>
    <t>Extended Warranty for Year 2 - Infrastructure &amp; Radios -Extended Warranty</t>
  </si>
  <si>
    <t>Extended Warranty for Year 3 - Infrastructure Extended Warranty</t>
  </si>
  <si>
    <t>Extended Warranty for Year 3 - Radios Extended Warranty</t>
  </si>
  <si>
    <t>Extended Warranty for Year 4 - Infrastructure Extended Warranty (Maint.)</t>
  </si>
  <si>
    <t>Depot R&amp;R       $69,535</t>
  </si>
  <si>
    <t>Issue Resolution     $116,340</t>
  </si>
  <si>
    <t>Microwave      $10,069</t>
  </si>
  <si>
    <t>Logging Recorders      $89,790</t>
  </si>
  <si>
    <t>Extended Warranty for Year 5 - Infrastructure Extended Warranty (Maint.)</t>
  </si>
  <si>
    <t>Depot R&amp;R       $70,927</t>
  </si>
  <si>
    <t>Issue Resolution     $118,667</t>
  </si>
  <si>
    <t>Microwave      $10,270</t>
  </si>
  <si>
    <t>Extended Warranty for Year 6 - Infrastructure Extended Warranty (Maint.)</t>
  </si>
  <si>
    <t>Depot R&amp;R       $72,344</t>
  </si>
  <si>
    <t>Issue Resolution     $121,040</t>
  </si>
  <si>
    <t>Microwave      $10,476</t>
  </si>
  <si>
    <t>Logging Recorders      $101,463</t>
  </si>
  <si>
    <t>Extended Warranty for Year 7 - Infrastructure Extended Warranty (Maint.)</t>
  </si>
  <si>
    <t>Depot R&amp;R       $73,791</t>
  </si>
  <si>
    <t>Issue Resolution     $123,461</t>
  </si>
  <si>
    <t>Microwave      $10,685</t>
  </si>
  <si>
    <t>Extended Warranty for Year 8 - Infrastructure Extended Warranty (Maint.)</t>
  </si>
  <si>
    <t>Depot R&amp;R       $75,267</t>
  </si>
  <si>
    <t>Issue Resolution     $125,930</t>
  </si>
  <si>
    <t>Microwave      $10,899</t>
  </si>
  <si>
    <t>Extended Warranty for Year 9 - Infrastructure Extended Warranty (Maint.)</t>
  </si>
  <si>
    <t>Depot R&amp;R       $76,772</t>
  </si>
  <si>
    <t>Issue Resolution     $128,449</t>
  </si>
  <si>
    <t>Microwave      $11,117</t>
  </si>
  <si>
    <t>Extended Warranty for Year 10 - Infrastructure Extended Warranty (Maint.)</t>
  </si>
  <si>
    <t>Depot R&amp;R       $78,307</t>
  </si>
  <si>
    <t>Issue Resolution     $131,018</t>
  </si>
  <si>
    <t>Microwave      $11,339</t>
  </si>
  <si>
    <t>TOTAL Extended Warranty for Years 2-10</t>
  </si>
  <si>
    <t>TOTAL WASHOE COUNTY SYSTEM POST-WARRANTY SUPPORT</t>
  </si>
  <si>
    <t>TABLE B.14 - DISPATCH EQUIPMENT AND SERVICES</t>
  </si>
  <si>
    <t>This Table is for dispatch equipment and logging recorders that may be procured by the Members as part of the contract and/or future purchase(s).</t>
  </si>
  <si>
    <t>Table B.14.C - WASHOE COUNTY DISPATCH EQUIPMENT</t>
  </si>
  <si>
    <t>Dispatch console - Symphony Console w/AES Ecrypt, 2 spkrs, 21.5" Monitor, Headset, and Desk Mic (Washoe NOC)</t>
  </si>
  <si>
    <t>Dispatch console- Symphony Console w/AES Ecrypt, 2 spkrs, 21.5" Monitor, Headset, and Desk Mic (Detention)</t>
  </si>
  <si>
    <t>Dispatch console - Symphony Console w/AES Ecrypt, 2 spkrs, 21.5" Monitor, Headset, and Desk Mic (Court Complex)</t>
  </si>
  <si>
    <t>Dispatch console- Symphony Console w/AES Ecrypt, 2 spkrs, 21.5" Monitor, Headset, and Desk Mic (WCSD)</t>
  </si>
  <si>
    <t>Dispatch console- Symphony Console w/AES Ecrypt, 2 spkrs, 21.5" Monitor, Headset, and Desk Mic (WCRCS)</t>
  </si>
  <si>
    <t>Microwave Hops - NOC</t>
  </si>
  <si>
    <t>Microwave Hops - Sparks</t>
  </si>
  <si>
    <t>UPS 60 Hz Power Supply</t>
  </si>
  <si>
    <t>TOTAL WASHOE COUNTY DISPATCH COST</t>
  </si>
  <si>
    <t>DISPATCH SERVICES</t>
  </si>
  <si>
    <r>
      <t>EXAMPLES OF DISPATCH SERVICES ARE:</t>
    </r>
    <r>
      <rPr>
        <sz val="12"/>
        <rFont val="Calibri"/>
        <family val="2"/>
      </rPr>
      <t xml:space="preserve"> engineering, equipment installation, console programming, removal of old equipment, project management, training, software support, etc.</t>
    </r>
  </si>
  <si>
    <t>Enter the daily or hourly rate and any applicable discount for each service that can be provided. Add additional rows as needed.</t>
  </si>
  <si>
    <t>Table B.14.F - WASHOE COUNTY DISPATCH SERVICES</t>
  </si>
  <si>
    <t>Rate</t>
  </si>
  <si>
    <t>Total</t>
  </si>
  <si>
    <t>Installation and Programming</t>
  </si>
  <si>
    <t>LS</t>
  </si>
  <si>
    <t>Engineering - Included in Table B.10</t>
  </si>
  <si>
    <t>Proj Mgmt - Included in Table B.10</t>
  </si>
  <si>
    <t>Training - Included in Table B.10</t>
  </si>
  <si>
    <t>Removal of old equipment included in Install and Programming Price</t>
  </si>
  <si>
    <t xml:space="preserve">TOTAL WASHOE COUNTY DISPATCH SERVICES </t>
  </si>
  <si>
    <t>TOTAL WASHOE COUNTY DISPATCH EQUIPMENT AND SERVICES</t>
  </si>
  <si>
    <t>TABLE B.15 - USER RADIO EQUIPMENT AND SERVICES</t>
  </si>
  <si>
    <t xml:space="preserve">This Table is for user radio equipment that may be procured by the Members as part of the contract and/or future purchase(s).  Portables pricing to include portable battery.  Contractor to include optional pricing for each type of radio (portable, mobile, and control station/desktop radio) for: 
* OTAR  * OTAP  *GPS (integrated in the radio)  * Intrinsically safe  * Voice Playback  *Spare battery  *  Single battery charger  * Multiple batteries charger  * In-vehicle battery charger  * Types of portable belt clips and attachments  * Shoulder/lapel mic  * Noise cancellation  * Wi-Fi Capable  *Integrated cellular data modem  * Cellular LMR app  * P25 Phase 1 &amp; 2  * P25 Trunking  * Dual-band (700/800MHz) &amp; VHF  * Multi-band  * Different Antennas and  * Programming cable and any other common features/functionality.             Note that all batteries should be of the lithium type. 
</t>
  </si>
  <si>
    <t>Table B.15.A - NDOT SUBSCRIBER EQUIPMENT</t>
  </si>
  <si>
    <t>User Radios (Table 8) - Mobile Low Tier Upgrade</t>
  </si>
  <si>
    <t>User Radios (Table 8) - Mobile Low Tier Replace</t>
  </si>
  <si>
    <t>User Radios (Table 8) - Portable Low Tier Upgrade</t>
  </si>
  <si>
    <t>User Radios (Table 8) - Portable Low Tier Replace</t>
  </si>
  <si>
    <t>User Radios (Table 8) - Desktop Low Tier Upgrade</t>
  </si>
  <si>
    <t>User Radios (Table 8) - Desktop Low Tier Replace</t>
  </si>
  <si>
    <t>User Radios (Table 8) - Mobile Mid Tier Upgrade</t>
  </si>
  <si>
    <t>User Radios (Table 8) - Mobile Mid Tier Replace</t>
  </si>
  <si>
    <t>User Radios (Table 8) - Portable Mid Tier Upgrade</t>
  </si>
  <si>
    <t>User Radios (Table 8) - Portable Mid Tier Replace</t>
  </si>
  <si>
    <t>User Radios (Table 8) - Desktop Mid Tier Upgrade</t>
  </si>
  <si>
    <t>User Radios (Table 8) - Desktop Mid Tier Replace</t>
  </si>
  <si>
    <t>User Radios (Table 8) - Mobile High Tier Upgrade</t>
  </si>
  <si>
    <t>User Radios (Table 8) - Mobile High Tier Replace</t>
  </si>
  <si>
    <t>User Radios (Table 8) - Portable High Tier Upgrade</t>
  </si>
  <si>
    <t>User Radios (Table 8) - Portable High Tier Replace</t>
  </si>
  <si>
    <t>User Radios (Table 8) - Desktop High Tier Upgrade</t>
  </si>
  <si>
    <t>User Radios (Table 8) - Desktop High Tier Replace</t>
  </si>
  <si>
    <t>TOTAL NDOT SUBSCRIBER COST</t>
  </si>
  <si>
    <t>Table B.15.B - NV ENERGY SUBSCRIBER EQUIPMENT</t>
  </si>
  <si>
    <t>TOTAL NV ENERGY SUBSCRIBER COST</t>
  </si>
  <si>
    <t>Table B.15.C - WASHOE COUNTY SUBSCRIBER EQUIPMENT</t>
  </si>
  <si>
    <t>TOTAL WASHOE COUNTY SUBSCRIBER COST</t>
  </si>
  <si>
    <t>SUBSCRIBER  SERVICES</t>
  </si>
  <si>
    <t>EXAMPLES OF SUBSCRIBER SERVICES ARE: engineering, equipment installation, radio programming, equipment removal, project management, training, software support, etc.</t>
  </si>
  <si>
    <t>Table B.15.D - NDOT SUBSCRIBER SERVICES</t>
  </si>
  <si>
    <t>TOTAL NDOT SUBSCRIBER SERVICES</t>
  </si>
  <si>
    <t>Table B.15.E - NV ENERGY SUBSCRIBER SERVICES</t>
  </si>
  <si>
    <t>TOTAL NV ENERGY SUBSCRIBER SERVICES</t>
  </si>
  <si>
    <t>Table B.15.F - WASHOE COUNTY SUBSCRIBER SERVICES</t>
  </si>
  <si>
    <t>TOTAL WASHOE COUNTY SUBSCRIBER SERVICES</t>
  </si>
  <si>
    <t>TOTAL NDOT SUBSCRIBER COSTS AND SERVICES</t>
  </si>
  <si>
    <t>TOTAL NV ENERGY SUBSCRIBER COSTS AND SERVICES</t>
  </si>
  <si>
    <t>TOTAL WASHOE COUNTY SUBSCRIBER COSTS AND SERVICES</t>
  </si>
  <si>
    <t>Table B.15.C - WASHOE COUNTY SUBSCRIBER EQUIPMENT (all radios include P25 and EDACS trunking, except XG-15P which is P25 only)</t>
  </si>
  <si>
    <t>User Radios   - XG-25M Mobile Low Tier Front Mount, Single Key AES, PH 2,  OTAP, Data, LLA, Mic, Antenna  (500M Replacements)</t>
  </si>
  <si>
    <t>User Radios   - XG-25M Mobile Low Tier Front Mount, Single Key AES, PH 2, OTAP, LLA, Mic, Antenna                         (M5300 Replacements)</t>
  </si>
  <si>
    <t>User Radios   - XG-25M Mobile Low Tier Front Mount, Single Key AES, PH 2, OTAP, LLA, Mic, Antenna                         (M7100 Replacements)</t>
  </si>
  <si>
    <t>User Radios   - XG-25M Mobile Low Tier Front Mount, Single Key AES, PH 2,  OTAP, LLA, Mic, Antenna                         (Orion 12W Replacements)</t>
  </si>
  <si>
    <t>User Radios   - XG-25M Mobile Low Tier Front Mount, Single Key AES, PH 2, OTAP, LLA, Mic, Antenna                         (Orion 35W Replacements)</t>
  </si>
  <si>
    <t>User Radios   - XG-25M Mobile Low Tier Front Mount, Single Key AES, PH 2, LLA, Mic, Antenna                         (Orion Front/Rear Replacements)</t>
  </si>
  <si>
    <t>User Radios   - XG-75M Mobile Mid Tier System Remote Mount with PH 2, Multi Key AES, ProVoice, OTAR, OTAP, GPS, LLA, Mic, Antenna (Public Safety Replacements)</t>
  </si>
  <si>
    <t>User Radios   - XG-75M Mobile Mid Tier System Remote Mount with PH 2, Single Key AES, OTAP, LLA, Mic, Antenna  (M7100 Replacements)</t>
  </si>
  <si>
    <t>User Radios   - XG-75M Mobile Mid Tier System Remote Mount with PH 2, Multi Key AES, ProVoice, OTAR, OTAP, GPS, LLA, Mic, Antenna (M7100 Replacements)</t>
  </si>
  <si>
    <t>User Radios   - XG-75M Mobile Mid Tier System Remote Mount with PH 2, Single Key AES, OTAP, LLA, Mic, Antenna (Orion 12W Replacements)</t>
  </si>
  <si>
    <t>User Radios   - XG-75M Mobile Mid Tier System Remote Mount with PH 2, Multi Key AES, ProVoice, OTAR, OTAP, GPS, LLA, Mic, Antenna                                                  (Orion 12W Replacements)</t>
  </si>
  <si>
    <t>User Radios   - XG-75M Mobile Mid Tier System Remote Mount with PH 2, Single Key AES, OTAP, LLA, Mic, Antenna (Orion 35W Replacements)</t>
  </si>
  <si>
    <t>User Radios   - XG-75M Mobile Mid Tier System Remote Mount with PH 2, Multi Key AES, ProVoice, OTAR, OTAP, GPS, LLA, Mic, Antenna                                                  (Orion 35W Replacements)</t>
  </si>
  <si>
    <t>User Radios - XG-100M Multiband Mobile High Tier with Multi Key AES, ProVoice, PH 2, OTAR, OTAP, GPS, LLA, Mic, Antenna</t>
  </si>
  <si>
    <t>User Radios - XL-200M Multiband Mobile High Tier with Multi Key AES, ProVoice, PH 2, OTAR, OTAP, GPS, LLA, Mic, Antenna</t>
  </si>
  <si>
    <t>User Radios   - XG-75PE Portable System Mid Tier PH 2, OTAP, OTAR, GPS, LLA, Multi Key AES, Provoice, Immersible, Spkr Mic, Battery, Antenna, Leather Case (Replacements)</t>
  </si>
  <si>
    <t>User Radios - XL-185P Portable FKP Mid Tier PH2, OTAP, OTAR, GPS, LLA, Multi Key AES, ProVoice, Immersible, Spkr Mic, Battery, Antenna, Leather Case</t>
  </si>
  <si>
    <t>User Radios - XL-200P FKP Multiband Portable High Tier with Multi Key AES, ProVoice, PH 2, OTAR, OTAP, GPS, LLA, Immersible, Spkr Mic, Battery, Antenna, Leather Case</t>
  </si>
  <si>
    <t>User Radios  - XG-25P Portable Sys, Low Tier with Single Key AES, PH 2, OTAP, LLA, Battery, Antenna, Belt Clip</t>
  </si>
  <si>
    <t>User Radios  - XG-25P Portable Sys Low Tier with, Single Key AES, PH 2, OTAP, OTAR, LLA, Battery, Antenna, Belt Clip</t>
  </si>
  <si>
    <t>User Radios  - XG-25P Portable Sys Low Tier with Single Key AES, ProVoice, PH 2, OTAP, OTAR, LLA, Battery, Antenna, Belt Clip</t>
  </si>
  <si>
    <t>User Radios  - XG-15P Portable Low Tier with Single Key AES, PH 2, OTAP, LLA, Battery, Antenna, Belt Clip, Charger</t>
  </si>
  <si>
    <t>Single Desktop Charger (XG-25, XG-75)</t>
  </si>
  <si>
    <t>Single Desktop Charger (XL-185, XL-200)</t>
  </si>
  <si>
    <t>User Radios   - XG-75M CS-7000 Local Control Station High Tier with PH 2, OTAP, LLA, Mic, Antenna                                                                                         (Orion Desk Top Station Replacements)</t>
  </si>
  <si>
    <t>User Radios   - XG-75M CS-7000 Local Control Station High Tier with PH 2, AES Encryption, ProVoice, OTAP, OTAR, LLA, Mic, Antenna                                                   (Orion Desk Top Station Replacements)</t>
  </si>
  <si>
    <t>Upgrade Existing CS-7000</t>
  </si>
  <si>
    <t>Upgrade Existing M7300's</t>
  </si>
  <si>
    <t>Upgrade Existing P7350's</t>
  </si>
  <si>
    <t>Upgrade Existing P7370's</t>
  </si>
  <si>
    <t>Upgrade Existing Unity XG-100Ms</t>
  </si>
  <si>
    <t>Upgrade Existing XG-25Ms</t>
  </si>
  <si>
    <t>Upgrade Existing XG-25Ps</t>
  </si>
  <si>
    <t>Upgrade Existing XG-75Ms</t>
  </si>
  <si>
    <t>Upgrade Existing XG-75Ps</t>
  </si>
  <si>
    <t>Upgrade Existing XL-200Ps</t>
  </si>
  <si>
    <t>Individual Feature and Accessory Prices (For Information Only)</t>
  </si>
  <si>
    <t>OTAP (OVER-THE-AIR PROGRAMMING)</t>
  </si>
  <si>
    <t>OTAR (OVER-THE-AIR-REKEYING)</t>
  </si>
  <si>
    <t>AES Encryption</t>
  </si>
  <si>
    <t>P25 Trunking</t>
  </si>
  <si>
    <t>P25 Phase 2</t>
  </si>
  <si>
    <t>Dual Band Operation 700/800 and VHF or UHF</t>
  </si>
  <si>
    <t>Multi Band Operation 700/800 and VHF and UHF</t>
  </si>
  <si>
    <t>Wi-Fi Capable (XL-200P)</t>
  </si>
  <si>
    <t>In-Band GPS</t>
  </si>
  <si>
    <t>StatusAware License</t>
  </si>
  <si>
    <t>BeOn User License</t>
  </si>
  <si>
    <t>Intrinsically Safe</t>
  </si>
  <si>
    <t>Li-Ion Battery</t>
  </si>
  <si>
    <t>Li-Polymer Battery</t>
  </si>
  <si>
    <t>Single Charger - XL200P</t>
  </si>
  <si>
    <t>Single Charger - XG75/25P</t>
  </si>
  <si>
    <t>6 Bay Multi Charger - XL200P</t>
  </si>
  <si>
    <t>6 Bay Multi Charger - XG75/25P</t>
  </si>
  <si>
    <t>Vehicular Charger</t>
  </si>
  <si>
    <t>Leather Case w/Shoulder Strap</t>
  </si>
  <si>
    <t>Leather Case w/Belt Loop, D-Swivel</t>
  </si>
  <si>
    <t>Leather Belt Loop</t>
  </si>
  <si>
    <t>Belt Clip</t>
  </si>
  <si>
    <t>Speaker Mic - Premium Fire Mic (Noise Cancelling)</t>
  </si>
  <si>
    <t>Speaker Mic - GPS (For XG75/25P)</t>
  </si>
  <si>
    <t>Speaker Mic - Bluetooth Wireless</t>
  </si>
  <si>
    <t xml:space="preserve">Speaker Mic </t>
  </si>
  <si>
    <t>SP721 Digital Remote Controllers</t>
  </si>
  <si>
    <t>ANTENNA, FLEX, HELICAL, 136-870 MHZ</t>
  </si>
  <si>
    <t>ANTENNA, WHIP, DUAL-BAND, UHF/700/800 MHZ</t>
  </si>
  <si>
    <t>ANTENNA, WHIP, 1/2 WAVE 762-870 MHZ</t>
  </si>
  <si>
    <t>1 Year Extended Warranty - Single Band Portable</t>
  </si>
  <si>
    <t xml:space="preserve">2 Year Extended Warranty - Single Band Portable </t>
  </si>
  <si>
    <t xml:space="preserve">3 Year Extended Warranty - Single Band Portable </t>
  </si>
  <si>
    <t xml:space="preserve">1 year Extended Warranty - Single Band Mobile </t>
  </si>
  <si>
    <t xml:space="preserve">2 Year Extended Warranty - Single Band Mobile </t>
  </si>
  <si>
    <t xml:space="preserve">3 Year Extended Warranty - Single Band Mobile </t>
  </si>
  <si>
    <t>1 Year Extended Warranty - Multi-Band Portable</t>
  </si>
  <si>
    <t xml:space="preserve">2 Year Extended Warranty - Multi-Band Portable </t>
  </si>
  <si>
    <t xml:space="preserve">1 Year Extended Warranty - Multi-Band Mobile </t>
  </si>
  <si>
    <t xml:space="preserve">2 Year Extended Warranty - Multi-Band Mobile </t>
  </si>
  <si>
    <t>Existing Radios will be upgraded to P25 free of charge</t>
  </si>
  <si>
    <t>Radio Programming (per radio for quantities in Table B.15.C) Replacement Radios</t>
  </si>
  <si>
    <t>Radio Programming (per radio for quantities in Table B.15.C) Upgraded Radios</t>
  </si>
  <si>
    <t>Mobile and Desktop Installation (per radio for quantities in Table B.15.C)</t>
  </si>
  <si>
    <t>Alpine Heights</t>
  </si>
  <si>
    <t xml:space="preserve">CHANGES TO THIS LIST WILL CHANGE ITEMS ON </t>
  </si>
  <si>
    <t>Site Name 1</t>
  </si>
  <si>
    <t>Site Name 2</t>
  </si>
  <si>
    <t>Banner Ranch</t>
  </si>
  <si>
    <t>SHEETS C2 AND C4.  BE CAREFUL.</t>
  </si>
  <si>
    <t>OCEANSIDE ABBEY</t>
  </si>
  <si>
    <t>OCEANSIDE CC</t>
  </si>
  <si>
    <t>BLACK MTN</t>
  </si>
  <si>
    <t>OGILBY ATC</t>
  </si>
  <si>
    <t>Birch Hill</t>
  </si>
  <si>
    <t>CONGREGATIONAL TOWERS (CHULA VISTA RELAY)</t>
  </si>
  <si>
    <t>SAN YSIDRO</t>
  </si>
  <si>
    <t>BRAWLEY</t>
  </si>
  <si>
    <t>BRUNTS</t>
  </si>
  <si>
    <t>Black Mountain, SD</t>
  </si>
  <si>
    <t>CHULA VISTA PD DISPATCH</t>
  </si>
  <si>
    <t>Borrego Peg Leg</t>
  </si>
  <si>
    <t>COWLES MTN</t>
  </si>
  <si>
    <t>HEARTLAND DISPATCH (HCFA)</t>
  </si>
  <si>
    <t>CALEXICO</t>
  </si>
  <si>
    <t>ICSO</t>
  </si>
  <si>
    <t>Boucher Hill</t>
  </si>
  <si>
    <t>RATTLESNAKE</t>
  </si>
  <si>
    <t>EL CAJON PD</t>
  </si>
  <si>
    <t>HOLTVILLE</t>
  </si>
  <si>
    <t>CalFire Dispatch (Monte Vista)</t>
  </si>
  <si>
    <t>MT WOODSON</t>
  </si>
  <si>
    <t>ESCONDIDO PD</t>
  </si>
  <si>
    <t>HENDRIX PEAK</t>
  </si>
  <si>
    <t>CalTrans TMC</t>
  </si>
  <si>
    <t>LAKE SAN MARCOS PK</t>
  </si>
  <si>
    <t>RANCHO FIRE</t>
  </si>
  <si>
    <t>EL CENTRO PD</t>
  </si>
  <si>
    <t>Campo (Graves)</t>
  </si>
  <si>
    <t>CARLSBAD PD</t>
  </si>
  <si>
    <t>Chihuahua Valley</t>
  </si>
  <si>
    <t>BLACK HILL</t>
  </si>
  <si>
    <t>COC - Primary System Center</t>
  </si>
  <si>
    <t>SUPERSTITION</t>
  </si>
  <si>
    <t>SALTON CITY</t>
  </si>
  <si>
    <t>Cowles Mountain</t>
  </si>
  <si>
    <t>Cuyamaca Peak</t>
  </si>
  <si>
    <t>OCEANSIDE ABBEY  -  OCEANSIDE CC LINK</t>
  </si>
  <si>
    <t>Emery Hill</t>
  </si>
  <si>
    <t>CONGREGATIONAL TOWERS (CHULA VISTA RELAY) - SAN YSINDRO LINK</t>
  </si>
  <si>
    <t>Encina Power Plant</t>
  </si>
  <si>
    <t>CONGREGATIONAL TOWERS (CHULA VISTA RELAY) - CHULA VISTA PD LINK</t>
  </si>
  <si>
    <t>Encinitas Best Western</t>
  </si>
  <si>
    <t>COWLES MTN - HEARTLAND DISPATCH (HCFA) LINK</t>
  </si>
  <si>
    <t>Harmony Hill</t>
  </si>
  <si>
    <t>RATTLESNAKE - EL CAJON PD LINK</t>
  </si>
  <si>
    <t>Hendrix Peak</t>
  </si>
  <si>
    <t>MT. WOODSON - ESCONDIDO PD LINK</t>
  </si>
  <si>
    <t>Hubbard Hill</t>
  </si>
  <si>
    <t>LAKE SAN MARCOS PK - RANCHO FIRE LINK</t>
  </si>
  <si>
    <t>Jojoba Hill</t>
  </si>
  <si>
    <t>LAKE SAN MARCOS PK - CARLSBAD PD LINK</t>
  </si>
  <si>
    <t>Lake San Marcos Peak</t>
  </si>
  <si>
    <t>IMPERIAL COUNTY SO - EL CENTRO PD LINK</t>
  </si>
  <si>
    <t xml:space="preserve">Los Pinos </t>
  </si>
  <si>
    <t>Lyons Peak</t>
  </si>
  <si>
    <t>Monument Peak</t>
  </si>
  <si>
    <t>Mount San Miguel</t>
  </si>
  <si>
    <t>Mount Soledad</t>
  </si>
  <si>
    <t>Mount Woodson</t>
  </si>
  <si>
    <t>North Peak</t>
  </si>
  <si>
    <t>Oceanside Abbey</t>
  </si>
  <si>
    <t>Ocotillo Wells</t>
  </si>
  <si>
    <t>Otay Mountain</t>
  </si>
  <si>
    <t>Palomar Mountain</t>
  </si>
  <si>
    <t>Point Loma</t>
  </si>
  <si>
    <t>Rainbow Peak</t>
  </si>
  <si>
    <t>Rams Hill</t>
  </si>
  <si>
    <t>Rattlesnake Peak</t>
  </si>
  <si>
    <t>Red Mountain</t>
  </si>
  <si>
    <t>San Marcos Mountain</t>
  </si>
  <si>
    <t>Sierra Rojo</t>
  </si>
  <si>
    <t>Sunshine Summit</t>
  </si>
  <si>
    <t>Superstition Mountain</t>
  </si>
  <si>
    <t>UC Medical Center</t>
  </si>
  <si>
    <t>View Park, San Ysidro</t>
  </si>
  <si>
    <t>Volcan North</t>
  </si>
  <si>
    <t>Volcan South</t>
  </si>
  <si>
    <t>White 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</si>
</sst>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
    <numFmt numFmtId="166" formatCode="&quot;$&quot;#,##0"/>
  </numFmts>
  <fonts count="35" x14ac:knownFonts="1">
    <font>
      <sz val="11"/>
      <color theme="1"/>
      <name val="Calibri"/>
      <family val="2"/>
      <scheme val="minor"/>
    </font>
    <font>
      <sz val="10"/>
      <name val="Arial"/>
      <family val="2"/>
    </font>
    <font>
      <sz val="10"/>
      <name val="Arial"/>
      <family val="2"/>
    </font>
    <font>
      <b/>
      <sz val="12"/>
      <name val="Calibri"/>
      <family val="2"/>
    </font>
    <font>
      <sz val="12"/>
      <name val="Calibri"/>
      <family val="2"/>
    </font>
    <font>
      <sz val="12"/>
      <color indexed="8"/>
      <name val="Calibri"/>
      <family val="2"/>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sz val="10"/>
      <name val="Calibri"/>
      <family val="2"/>
      <scheme val="minor"/>
    </font>
    <font>
      <b/>
      <sz val="1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1"/>
      <color rgb="FF000000"/>
      <name val="Calibri"/>
      <family val="2"/>
    </font>
    <font>
      <b/>
      <sz val="14"/>
      <color rgb="FFC00000"/>
      <name val="Calibri"/>
      <family val="2"/>
      <scheme val="minor"/>
    </font>
    <font>
      <sz val="7"/>
      <color rgb="FFFFFFFF"/>
      <name val="Calibri"/>
      <family val="2"/>
    </font>
    <font>
      <sz val="7"/>
      <color rgb="FF000000"/>
      <name val="Calibri"/>
      <family val="2"/>
    </font>
    <font>
      <b/>
      <sz val="14"/>
      <name val="Calibri"/>
      <family val="2"/>
      <scheme val="minor"/>
    </font>
    <font>
      <sz val="12"/>
      <color theme="1"/>
      <name val="Calibri"/>
      <family val="2"/>
      <scheme val="minor"/>
    </font>
    <font>
      <sz val="14"/>
      <name val="Calibri"/>
      <family val="2"/>
      <scheme val="minor"/>
    </font>
    <font>
      <sz val="10"/>
      <color rgb="FF000000"/>
      <name val="Calibri"/>
      <family val="2"/>
    </font>
    <font>
      <b/>
      <sz val="14"/>
      <color theme="1"/>
      <name val="Calibri"/>
      <family val="2"/>
      <scheme val="minor"/>
    </font>
    <font>
      <b/>
      <sz val="12"/>
      <color theme="1"/>
      <name val="Calibri"/>
      <family val="2"/>
      <scheme val="minor"/>
    </font>
    <font>
      <b/>
      <sz val="14"/>
      <color theme="0"/>
      <name val="Calibri"/>
      <family val="2"/>
      <scheme val="minor"/>
    </font>
    <font>
      <b/>
      <sz val="12"/>
      <color theme="0"/>
      <name val="Calibri"/>
      <family val="2"/>
      <scheme val="minor"/>
    </font>
    <font>
      <sz val="12"/>
      <name val="Calibri"/>
      <family val="2"/>
      <scheme val="minor"/>
    </font>
    <font>
      <sz val="11"/>
      <name val="Calibri"/>
      <family val="2"/>
      <scheme val="minor"/>
    </font>
    <font>
      <b/>
      <sz val="16"/>
      <color theme="0"/>
      <name val="Calibri"/>
      <family val="2"/>
      <scheme val="minor"/>
    </font>
    <font>
      <b/>
      <sz val="12"/>
      <name val="Calibri"/>
      <family val="2"/>
      <scheme val="minor"/>
    </font>
    <font>
      <sz val="12"/>
      <color rgb="FFC00000"/>
      <name val="Calibri"/>
      <family val="2"/>
    </font>
    <font>
      <sz val="10"/>
      <color rgb="FFFF0000"/>
      <name val="Calibri"/>
      <family val="2"/>
      <scheme val="minor"/>
    </font>
    <font>
      <b/>
      <sz val="12"/>
      <color rgb="FFFFFF00"/>
      <name val="Calibri"/>
      <family val="2"/>
      <scheme val="minor"/>
    </font>
    <font>
      <b/>
      <sz val="10"/>
      <color rgb="FFFF0000"/>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darkGrid">
        <bgColor theme="3" tint="0.79998168889431442"/>
      </patternFill>
    </fill>
    <fill>
      <patternFill patternType="solid">
        <fgColor rgb="FF00206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1F497D"/>
        <bgColor indexed="64"/>
      </patternFill>
    </fill>
    <fill>
      <patternFill patternType="solid">
        <fgColor theme="4" tint="0.79998168889431442"/>
        <bgColor indexed="64"/>
      </patternFill>
    </fill>
    <fill>
      <patternFill patternType="darkGrid">
        <bgColor theme="6" tint="0.59999389629810485"/>
      </patternFill>
    </fill>
    <fill>
      <patternFill patternType="solid">
        <fgColor rgb="FF00B050"/>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ck">
        <color theme="0"/>
      </right>
      <top style="thin">
        <color indexed="64"/>
      </top>
      <bottom style="thin">
        <color indexed="64"/>
      </bottom>
      <diagonal/>
    </border>
    <border>
      <left/>
      <right/>
      <top style="thin">
        <color theme="0"/>
      </top>
      <bottom style="thin">
        <color theme="0"/>
      </bottom>
      <diagonal/>
    </border>
    <border>
      <left style="thin">
        <color indexed="64"/>
      </left>
      <right style="thin">
        <color theme="0"/>
      </right>
      <top/>
      <bottom/>
      <diagonal/>
    </border>
    <border>
      <left style="thick">
        <color theme="0"/>
      </left>
      <right/>
      <top style="thin">
        <color theme="0"/>
      </top>
      <bottom style="thin">
        <color theme="0"/>
      </bottom>
      <diagonal/>
    </border>
    <border>
      <left style="thin">
        <color indexed="64"/>
      </left>
      <right style="thin">
        <color theme="0"/>
      </right>
      <top style="thin">
        <color indexed="64"/>
      </top>
      <bottom style="thin">
        <color theme="0"/>
      </bottom>
      <diagonal/>
    </border>
    <border>
      <left/>
      <right style="thin">
        <color theme="0"/>
      </right>
      <top style="thin">
        <color theme="0"/>
      </top>
      <bottom style="thin">
        <color indexed="64"/>
      </bottom>
      <diagonal/>
    </border>
    <border>
      <left/>
      <right style="thick">
        <color theme="0"/>
      </right>
      <top/>
      <bottom style="thin">
        <color theme="0"/>
      </bottom>
      <diagonal/>
    </border>
    <border>
      <left style="thin">
        <color theme="0"/>
      </left>
      <right/>
      <top style="thin">
        <color theme="0"/>
      </top>
      <bottom style="thin">
        <color indexed="64"/>
      </bottom>
      <diagonal/>
    </border>
    <border>
      <left/>
      <right/>
      <top/>
      <bottom style="thin">
        <color theme="0"/>
      </bottom>
      <diagonal/>
    </border>
    <border>
      <left/>
      <right style="thick">
        <color theme="0"/>
      </right>
      <top style="thin">
        <color theme="0"/>
      </top>
      <bottom style="thin">
        <color theme="0"/>
      </bottom>
      <diagonal/>
    </border>
    <border>
      <left style="thin">
        <color indexed="64"/>
      </left>
      <right style="thick">
        <color theme="1"/>
      </right>
      <top style="thin">
        <color indexed="64"/>
      </top>
      <bottom style="thin">
        <color indexed="64"/>
      </bottom>
      <diagonal/>
    </border>
    <border>
      <left style="thin">
        <color theme="0"/>
      </left>
      <right style="thick">
        <color theme="0"/>
      </right>
      <top style="thin">
        <color theme="0"/>
      </top>
      <bottom style="thin">
        <color indexed="64"/>
      </bottom>
      <diagonal/>
    </border>
    <border>
      <left/>
      <right style="double">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double">
        <color theme="0"/>
      </right>
      <top/>
      <bottom style="thin">
        <color indexed="64"/>
      </bottom>
      <diagonal/>
    </border>
    <border>
      <left/>
      <right style="double">
        <color theme="0"/>
      </right>
      <top/>
      <bottom style="thin">
        <color theme="0"/>
      </bottom>
      <diagonal/>
    </border>
    <border>
      <left style="double">
        <color theme="0"/>
      </left>
      <right/>
      <top/>
      <bottom style="thin">
        <color theme="0"/>
      </bottom>
      <diagonal/>
    </border>
    <border>
      <left style="double">
        <color theme="0"/>
      </left>
      <right style="thin">
        <color theme="0"/>
      </right>
      <top style="thin">
        <color theme="0"/>
      </top>
      <bottom style="thin">
        <color indexed="64"/>
      </bottom>
      <diagonal/>
    </border>
    <border>
      <left/>
      <right style="thick">
        <color theme="0"/>
      </right>
      <top/>
      <bottom style="thin">
        <color indexed="64"/>
      </bottom>
      <diagonal/>
    </border>
    <border>
      <left style="thick">
        <color theme="0"/>
      </left>
      <right style="thin">
        <color theme="0"/>
      </right>
      <top style="thin">
        <color theme="0"/>
      </top>
      <bottom style="thin">
        <color indexed="64"/>
      </bottom>
      <diagonal/>
    </border>
    <border>
      <left style="double">
        <color theme="0"/>
      </left>
      <right style="thin">
        <color theme="0"/>
      </right>
      <top style="thin">
        <color theme="0"/>
      </top>
      <bottom/>
      <diagonal/>
    </border>
    <border>
      <left style="thin">
        <color theme="0"/>
      </left>
      <right/>
      <top/>
      <bottom style="thin">
        <color theme="0"/>
      </bottom>
      <diagonal/>
    </border>
    <border>
      <left style="thick">
        <color theme="0"/>
      </left>
      <right style="thin">
        <color theme="0"/>
      </right>
      <top style="thin">
        <color theme="0"/>
      </top>
      <bottom style="thin">
        <color theme="0"/>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1" fillId="0" borderId="0"/>
    <xf numFmtId="44" fontId="6" fillId="0" borderId="0" applyFont="0" applyFill="0" applyBorder="0" applyAlignment="0" applyProtection="0"/>
    <xf numFmtId="44" fontId="2" fillId="0" borderId="0" applyFont="0" applyFill="0" applyBorder="0" applyAlignment="0" applyProtection="0"/>
    <xf numFmtId="0" fontId="2" fillId="0" borderId="0"/>
    <xf numFmtId="9" fontId="6" fillId="0" borderId="0" applyFont="0" applyFill="0" applyBorder="0" applyAlignment="0" applyProtection="0"/>
    <xf numFmtId="0" fontId="1" fillId="0" borderId="0"/>
    <xf numFmtId="43" fontId="6" fillId="0" borderId="0" applyFont="0" applyFill="0" applyBorder="0" applyAlignment="0" applyProtection="0"/>
  </cellStyleXfs>
  <cellXfs count="301">
    <xf numFmtId="0" fontId="0" fillId="0" borderId="0" xfId="0"/>
    <xf numFmtId="0" fontId="9" fillId="0" borderId="0" xfId="0" applyFont="1"/>
    <xf numFmtId="44" fontId="9" fillId="0" borderId="0" xfId="2" applyFont="1" applyAlignment="1">
      <alignment horizontal="right"/>
    </xf>
    <xf numFmtId="164" fontId="9" fillId="0" borderId="0" xfId="0" applyNumberFormat="1" applyFont="1"/>
    <xf numFmtId="44" fontId="9" fillId="0" borderId="0" xfId="0" applyNumberFormat="1" applyFont="1"/>
    <xf numFmtId="164" fontId="10" fillId="0" borderId="0" xfId="0" applyNumberFormat="1" applyFont="1" applyAlignment="1">
      <alignment horizontal="left" vertical="top"/>
    </xf>
    <xf numFmtId="0" fontId="10" fillId="0" borderId="1" xfId="0" applyFont="1" applyBorder="1" applyAlignment="1">
      <alignment horizontal="left" vertical="top"/>
    </xf>
    <xf numFmtId="44" fontId="9" fillId="0" borderId="0" xfId="2" applyFont="1" applyBorder="1" applyAlignment="1">
      <alignment horizontal="right"/>
    </xf>
    <xf numFmtId="44" fontId="10" fillId="0" borderId="0" xfId="2" applyFont="1" applyFill="1" applyBorder="1" applyAlignment="1" applyProtection="1">
      <alignment horizontal="right" vertical="top"/>
    </xf>
    <xf numFmtId="164" fontId="9" fillId="0" borderId="0" xfId="0" applyNumberFormat="1" applyFont="1" applyAlignment="1">
      <alignment horizontal="center"/>
    </xf>
    <xf numFmtId="0" fontId="10" fillId="0" borderId="0" xfId="0" applyFont="1" applyAlignment="1">
      <alignment horizontal="left" vertical="top"/>
    </xf>
    <xf numFmtId="44" fontId="10" fillId="2" borderId="1" xfId="2" applyFont="1" applyFill="1" applyBorder="1" applyAlignment="1" applyProtection="1">
      <alignment horizontal="right" vertical="top"/>
    </xf>
    <xf numFmtId="0" fontId="10" fillId="2" borderId="2" xfId="0" applyFont="1" applyFill="1" applyBorder="1" applyAlignment="1">
      <alignment horizontal="left" vertical="top"/>
    </xf>
    <xf numFmtId="44" fontId="9" fillId="0" borderId="0" xfId="2" applyFont="1"/>
    <xf numFmtId="0" fontId="9" fillId="0" borderId="0" xfId="0" applyFont="1" applyAlignment="1">
      <alignment horizontal="center"/>
    </xf>
    <xf numFmtId="165" fontId="9" fillId="0" borderId="0" xfId="5" applyNumberFormat="1" applyFont="1" applyAlignment="1">
      <alignment horizontal="center"/>
    </xf>
    <xf numFmtId="0" fontId="8" fillId="3" borderId="1" xfId="0" applyFont="1" applyFill="1" applyBorder="1" applyAlignment="1" applyProtection="1">
      <alignment horizontal="center"/>
      <protection locked="0"/>
    </xf>
    <xf numFmtId="10" fontId="8" fillId="3" borderId="1" xfId="0" applyNumberFormat="1" applyFont="1" applyFill="1" applyBorder="1" applyProtection="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10" fontId="0" fillId="0" borderId="1" xfId="0" applyNumberFormat="1" applyBorder="1" applyProtection="1">
      <protection locked="0"/>
    </xf>
    <xf numFmtId="0" fontId="0" fillId="0" borderId="0" xfId="0" applyProtection="1">
      <protection locked="0"/>
    </xf>
    <xf numFmtId="0" fontId="8" fillId="0" borderId="0" xfId="0" applyFont="1" applyProtection="1">
      <protection locked="0"/>
    </xf>
    <xf numFmtId="166" fontId="0" fillId="0" borderId="0" xfId="0" applyNumberFormat="1" applyProtection="1">
      <protection locked="0"/>
    </xf>
    <xf numFmtId="0" fontId="0" fillId="0" borderId="0" xfId="0" applyAlignment="1" applyProtection="1">
      <alignment horizontal="center"/>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10" fontId="0" fillId="4" borderId="1" xfId="0" applyNumberFormat="1" applyFill="1" applyBorder="1" applyProtection="1">
      <protection locked="0"/>
    </xf>
    <xf numFmtId="0" fontId="12" fillId="5" borderId="1" xfId="0" applyFont="1" applyFill="1" applyBorder="1" applyAlignment="1">
      <alignment horizontal="left" vertical="top"/>
    </xf>
    <xf numFmtId="44" fontId="12" fillId="5" borderId="1" xfId="2" applyFont="1" applyFill="1" applyBorder="1" applyAlignment="1" applyProtection="1">
      <alignment horizontal="right" vertical="top"/>
    </xf>
    <xf numFmtId="0" fontId="10" fillId="0" borderId="1" xfId="0" applyFont="1" applyBorder="1" applyAlignment="1">
      <alignment horizontal="left" vertical="top" wrapText="1"/>
    </xf>
    <xf numFmtId="0" fontId="10" fillId="0" borderId="1" xfId="0" applyFont="1" applyBorder="1" applyAlignment="1">
      <alignment vertical="top"/>
    </xf>
    <xf numFmtId="0" fontId="13" fillId="0" borderId="0" xfId="0" applyFont="1"/>
    <xf numFmtId="0" fontId="12" fillId="5" borderId="1" xfId="4" applyFont="1" applyFill="1" applyBorder="1" applyAlignment="1">
      <alignment horizontal="left" wrapText="1"/>
    </xf>
    <xf numFmtId="0" fontId="9" fillId="0" borderId="0" xfId="0" applyFont="1" applyAlignment="1">
      <alignment wrapText="1"/>
    </xf>
    <xf numFmtId="44" fontId="10" fillId="6" borderId="1" xfId="3" applyFont="1" applyFill="1" applyBorder="1" applyAlignment="1">
      <alignment horizontal="right"/>
    </xf>
    <xf numFmtId="0" fontId="14" fillId="4" borderId="12" xfId="0" applyFont="1" applyFill="1" applyBorder="1" applyAlignment="1">
      <alignment horizontal="center" wrapText="1"/>
    </xf>
    <xf numFmtId="0" fontId="14" fillId="4" borderId="13" xfId="0" applyFont="1" applyFill="1" applyBorder="1" applyAlignment="1">
      <alignment horizontal="center" wrapText="1"/>
    </xf>
    <xf numFmtId="166" fontId="7" fillId="4" borderId="14" xfId="0" applyNumberFormat="1" applyFont="1" applyFill="1" applyBorder="1" applyAlignment="1" applyProtection="1">
      <alignment horizontal="center"/>
      <protection locked="0"/>
    </xf>
    <xf numFmtId="0" fontId="7" fillId="4" borderId="14" xfId="0" applyFont="1" applyFill="1" applyBorder="1" applyAlignment="1" applyProtection="1">
      <alignment horizontal="center"/>
      <protection locked="0"/>
    </xf>
    <xf numFmtId="0" fontId="15" fillId="0" borderId="0" xfId="0" applyFont="1" applyAlignment="1">
      <alignment horizontal="left"/>
    </xf>
    <xf numFmtId="0" fontId="0" fillId="0" borderId="0" xfId="0" applyAlignment="1">
      <alignment horizontal="center"/>
    </xf>
    <xf numFmtId="0" fontId="16" fillId="7" borderId="0" xfId="0" applyFont="1" applyFill="1"/>
    <xf numFmtId="0" fontId="17" fillId="8" borderId="3" xfId="0" applyFont="1" applyFill="1" applyBorder="1" applyAlignment="1">
      <alignment horizontal="center" wrapText="1"/>
    </xf>
    <xf numFmtId="0" fontId="17" fillId="8" borderId="4" xfId="0" applyFont="1" applyFill="1" applyBorder="1" applyAlignment="1">
      <alignment horizontal="center" wrapText="1"/>
    </xf>
    <xf numFmtId="0" fontId="18" fillId="0" borderId="5" xfId="0" applyFont="1" applyBorder="1" applyAlignment="1">
      <alignment horizontal="left"/>
    </xf>
    <xf numFmtId="0" fontId="18" fillId="0" borderId="6" xfId="0" applyFont="1" applyBorder="1" applyAlignment="1">
      <alignment horizontal="left"/>
    </xf>
    <xf numFmtId="0" fontId="9" fillId="0" borderId="0" xfId="0" applyFont="1" applyAlignment="1">
      <alignment horizontal="left"/>
    </xf>
    <xf numFmtId="0" fontId="19" fillId="2" borderId="1" xfId="0" applyFont="1" applyFill="1" applyBorder="1" applyAlignment="1">
      <alignment horizontal="center" vertical="top"/>
    </xf>
    <xf numFmtId="0" fontId="20" fillId="0" borderId="0" xfId="0" applyFont="1"/>
    <xf numFmtId="0" fontId="19" fillId="5" borderId="1" xfId="0" applyFont="1" applyFill="1" applyBorder="1" applyAlignment="1">
      <alignment horizontal="right" vertical="top"/>
    </xf>
    <xf numFmtId="0" fontId="22" fillId="0" borderId="0" xfId="0" applyFont="1" applyAlignment="1">
      <alignment horizontal="left"/>
    </xf>
    <xf numFmtId="0" fontId="23" fillId="5" borderId="1" xfId="0" applyFont="1" applyFill="1" applyBorder="1" applyAlignment="1" applyProtection="1">
      <alignment horizontal="right"/>
      <protection locked="0"/>
    </xf>
    <xf numFmtId="0" fontId="11" fillId="5" borderId="1" xfId="0" applyFont="1" applyFill="1" applyBorder="1" applyAlignment="1" applyProtection="1">
      <alignment horizontal="right"/>
      <protection locked="0"/>
    </xf>
    <xf numFmtId="0" fontId="8" fillId="3" borderId="1" xfId="0" applyFont="1" applyFill="1" applyBorder="1" applyAlignment="1" applyProtection="1">
      <alignment horizontal="right"/>
      <protection locked="0"/>
    </xf>
    <xf numFmtId="43" fontId="0" fillId="0" borderId="0" xfId="0" applyNumberFormat="1" applyProtection="1">
      <protection locked="0"/>
    </xf>
    <xf numFmtId="43" fontId="8" fillId="0" borderId="0" xfId="0" applyNumberFormat="1" applyFont="1" applyProtection="1">
      <protection locked="0"/>
    </xf>
    <xf numFmtId="44" fontId="0" fillId="0" borderId="1" xfId="0" applyNumberFormat="1" applyBorder="1" applyProtection="1">
      <protection locked="0"/>
    </xf>
    <xf numFmtId="0" fontId="24" fillId="0" borderId="1" xfId="0" applyFont="1" applyBorder="1" applyAlignment="1" applyProtection="1">
      <alignment horizontal="left" wrapText="1"/>
      <protection locked="0"/>
    </xf>
    <xf numFmtId="0" fontId="24" fillId="0" borderId="0" xfId="0" applyFont="1" applyProtection="1">
      <protection locked="0"/>
    </xf>
    <xf numFmtId="0" fontId="26" fillId="4" borderId="17" xfId="0" applyFont="1" applyFill="1" applyBorder="1" applyAlignment="1" applyProtection="1">
      <alignment horizontal="right"/>
      <protection locked="0"/>
    </xf>
    <xf numFmtId="0" fontId="7" fillId="4" borderId="12" xfId="0" applyFont="1" applyFill="1" applyBorder="1" applyAlignment="1" applyProtection="1">
      <alignment horizontal="left" wrapText="1"/>
      <protection locked="0"/>
    </xf>
    <xf numFmtId="0" fontId="12" fillId="2" borderId="1" xfId="0" applyFont="1" applyFill="1" applyBorder="1" applyAlignment="1">
      <alignment horizontal="center"/>
    </xf>
    <xf numFmtId="44" fontId="10" fillId="0" borderId="1" xfId="2" applyFont="1" applyFill="1" applyBorder="1" applyAlignment="1" applyProtection="1">
      <alignment horizontal="right" vertical="top"/>
    </xf>
    <xf numFmtId="0" fontId="12" fillId="9" borderId="1" xfId="0" applyFont="1" applyFill="1" applyBorder="1" applyAlignment="1">
      <alignment horizontal="right" vertical="top"/>
    </xf>
    <xf numFmtId="44" fontId="13" fillId="5" borderId="1" xfId="2" applyFont="1" applyFill="1" applyBorder="1" applyAlignment="1">
      <alignment horizontal="right"/>
    </xf>
    <xf numFmtId="0" fontId="12" fillId="5" borderId="1" xfId="0" applyFont="1" applyFill="1" applyBorder="1" applyAlignment="1">
      <alignment horizontal="right" vertical="top"/>
    </xf>
    <xf numFmtId="9" fontId="9" fillId="0" borderId="0" xfId="5" applyFont="1" applyAlignment="1">
      <alignment horizontal="center"/>
    </xf>
    <xf numFmtId="9" fontId="6" fillId="0" borderId="0" xfId="5" applyFont="1" applyAlignment="1">
      <alignment horizontal="center"/>
    </xf>
    <xf numFmtId="44" fontId="0" fillId="4" borderId="1" xfId="0" applyNumberFormat="1" applyFill="1" applyBorder="1" applyProtection="1">
      <protection locked="0"/>
    </xf>
    <xf numFmtId="44" fontId="26" fillId="4" borderId="1" xfId="0" applyNumberFormat="1" applyFont="1" applyFill="1" applyBorder="1" applyProtection="1">
      <protection locked="0"/>
    </xf>
    <xf numFmtId="44" fontId="27" fillId="10" borderId="1" xfId="3" applyFont="1" applyFill="1" applyBorder="1" applyAlignment="1">
      <alignment horizontal="center"/>
    </xf>
    <xf numFmtId="166" fontId="7" fillId="4" borderId="1" xfId="0" applyNumberFormat="1" applyFont="1" applyFill="1" applyBorder="1" applyAlignment="1" applyProtection="1">
      <alignment horizontal="center" wrapText="1"/>
      <protection locked="0"/>
    </xf>
    <xf numFmtId="0" fontId="7" fillId="4" borderId="1" xfId="0" applyFont="1" applyFill="1" applyBorder="1" applyAlignment="1" applyProtection="1">
      <alignment horizontal="center" wrapText="1"/>
      <protection locked="0"/>
    </xf>
    <xf numFmtId="9" fontId="7" fillId="4" borderId="1" xfId="5" applyFont="1" applyFill="1" applyBorder="1" applyAlignment="1" applyProtection="1">
      <alignment horizontal="center" wrapText="1"/>
      <protection locked="0"/>
    </xf>
    <xf numFmtId="0" fontId="11" fillId="0" borderId="1" xfId="4" applyFont="1" applyBorder="1" applyAlignment="1">
      <alignment horizontal="left" wrapText="1"/>
    </xf>
    <xf numFmtId="0" fontId="0" fillId="0" borderId="1" xfId="0" applyBorder="1" applyAlignment="1">
      <alignment horizontal="center"/>
    </xf>
    <xf numFmtId="9" fontId="6" fillId="0" borderId="1" xfId="5" applyFont="1" applyBorder="1" applyAlignment="1">
      <alignment horizontal="center"/>
    </xf>
    <xf numFmtId="0" fontId="28" fillId="0" borderId="1" xfId="4" applyFont="1" applyBorder="1" applyAlignment="1">
      <alignment horizontal="left" wrapText="1"/>
    </xf>
    <xf numFmtId="0" fontId="9" fillId="0" borderId="0" xfId="0" applyFont="1" applyAlignment="1">
      <alignment vertical="center"/>
    </xf>
    <xf numFmtId="44" fontId="7" fillId="4" borderId="14" xfId="0" applyNumberFormat="1" applyFont="1" applyFill="1" applyBorder="1" applyAlignment="1" applyProtection="1">
      <alignment horizontal="center"/>
      <protection locked="0"/>
    </xf>
    <xf numFmtId="44" fontId="8" fillId="3" borderId="1" xfId="0" applyNumberFormat="1" applyFont="1" applyFill="1" applyBorder="1" applyProtection="1">
      <protection locked="0"/>
    </xf>
    <xf numFmtId="44" fontId="8" fillId="3" borderId="1" xfId="0" applyNumberFormat="1" applyFont="1" applyFill="1" applyBorder="1" applyAlignment="1" applyProtection="1">
      <alignment horizontal="right"/>
      <protection locked="0"/>
    </xf>
    <xf numFmtId="44" fontId="0" fillId="0" borderId="0" xfId="0" applyNumberFormat="1" applyProtection="1">
      <protection locked="0"/>
    </xf>
    <xf numFmtId="0" fontId="26" fillId="4" borderId="19" xfId="0" applyFont="1" applyFill="1" applyBorder="1" applyAlignment="1" applyProtection="1">
      <alignment horizontal="center"/>
      <protection locked="0"/>
    </xf>
    <xf numFmtId="10" fontId="10" fillId="0" borderId="1" xfId="2" applyNumberFormat="1" applyFont="1" applyFill="1" applyBorder="1" applyAlignment="1" applyProtection="1">
      <alignment horizontal="right" vertical="top"/>
    </xf>
    <xf numFmtId="0" fontId="12" fillId="0" borderId="1" xfId="4" applyFont="1" applyBorder="1" applyAlignment="1">
      <alignment horizontal="left" wrapText="1"/>
    </xf>
    <xf numFmtId="0" fontId="12" fillId="2" borderId="1" xfId="0" applyFont="1" applyFill="1" applyBorder="1" applyAlignment="1">
      <alignment horizontal="center" vertical="top"/>
    </xf>
    <xf numFmtId="0" fontId="26" fillId="4" borderId="15" xfId="0" applyFont="1" applyFill="1" applyBorder="1" applyProtection="1">
      <protection locked="0"/>
    </xf>
    <xf numFmtId="44" fontId="7" fillId="4" borderId="20" xfId="0" applyNumberFormat="1" applyFont="1" applyFill="1" applyBorder="1" applyAlignment="1" applyProtection="1">
      <alignment horizontal="center"/>
      <protection locked="0"/>
    </xf>
    <xf numFmtId="44" fontId="8" fillId="3" borderId="7" xfId="0" applyNumberFormat="1" applyFont="1" applyFill="1" applyBorder="1" applyProtection="1">
      <protection locked="0"/>
    </xf>
    <xf numFmtId="44" fontId="0" fillId="0" borderId="7" xfId="0" applyNumberFormat="1" applyBorder="1" applyProtection="1">
      <protection locked="0"/>
    </xf>
    <xf numFmtId="44" fontId="8" fillId="3" borderId="7" xfId="0" applyNumberFormat="1" applyFont="1" applyFill="1" applyBorder="1" applyAlignment="1" applyProtection="1">
      <alignment horizontal="right"/>
      <protection locked="0"/>
    </xf>
    <xf numFmtId="44" fontId="0" fillId="4" borderId="7" xfId="0" applyNumberFormat="1" applyFill="1" applyBorder="1" applyProtection="1">
      <protection locked="0"/>
    </xf>
    <xf numFmtId="44" fontId="8" fillId="3" borderId="8" xfId="0" applyNumberFormat="1" applyFont="1" applyFill="1" applyBorder="1" applyProtection="1">
      <protection locked="0"/>
    </xf>
    <xf numFmtId="44" fontId="0" fillId="0" borderId="8" xfId="0" applyNumberFormat="1" applyBorder="1" applyProtection="1">
      <protection locked="0"/>
    </xf>
    <xf numFmtId="44" fontId="8" fillId="5" borderId="8" xfId="0" applyNumberFormat="1" applyFont="1" applyFill="1" applyBorder="1" applyProtection="1">
      <protection locked="0"/>
    </xf>
    <xf numFmtId="44" fontId="0" fillId="4" borderId="8" xfId="0" applyNumberFormat="1" applyFill="1" applyBorder="1" applyProtection="1">
      <protection locked="0"/>
    </xf>
    <xf numFmtId="166" fontId="7" fillId="4" borderId="22" xfId="0" applyNumberFormat="1" applyFont="1" applyFill="1" applyBorder="1" applyAlignment="1" applyProtection="1">
      <alignment horizontal="center"/>
      <protection locked="0"/>
    </xf>
    <xf numFmtId="44" fontId="8" fillId="3" borderId="25" xfId="0" applyNumberFormat="1" applyFont="1" applyFill="1" applyBorder="1" applyProtection="1">
      <protection locked="0"/>
    </xf>
    <xf numFmtId="44" fontId="0" fillId="0" borderId="25" xfId="0" applyNumberFormat="1" applyBorder="1" applyProtection="1">
      <protection locked="0"/>
    </xf>
    <xf numFmtId="44" fontId="0" fillId="4" borderId="25" xfId="0" applyNumberFormat="1" applyFill="1" applyBorder="1" applyProtection="1">
      <protection locked="0"/>
    </xf>
    <xf numFmtId="44" fontId="7" fillId="4" borderId="26" xfId="0" applyNumberFormat="1" applyFont="1" applyFill="1" applyBorder="1" applyAlignment="1" applyProtection="1">
      <alignment horizontal="center"/>
      <protection locked="0"/>
    </xf>
    <xf numFmtId="44" fontId="8" fillId="3" borderId="10" xfId="0" applyNumberFormat="1" applyFont="1" applyFill="1" applyBorder="1" applyProtection="1">
      <protection locked="0"/>
    </xf>
    <xf numFmtId="44" fontId="10" fillId="2" borderId="1" xfId="3" applyFont="1" applyFill="1" applyBorder="1" applyAlignment="1">
      <alignment horizontal="right"/>
    </xf>
    <xf numFmtId="0" fontId="20" fillId="4" borderId="1" xfId="0" applyFont="1" applyFill="1" applyBorder="1"/>
    <xf numFmtId="44" fontId="8" fillId="3" borderId="27" xfId="0" applyNumberFormat="1" applyFont="1" applyFill="1" applyBorder="1" applyProtection="1">
      <protection locked="0"/>
    </xf>
    <xf numFmtId="44" fontId="0" fillId="0" borderId="27" xfId="0" applyNumberFormat="1" applyBorder="1" applyProtection="1">
      <protection locked="0"/>
    </xf>
    <xf numFmtId="44" fontId="8" fillId="5" borderId="27" xfId="0" applyNumberFormat="1" applyFont="1" applyFill="1" applyBorder="1" applyProtection="1">
      <protection locked="0"/>
    </xf>
    <xf numFmtId="44" fontId="0" fillId="4" borderId="27" xfId="0" applyNumberFormat="1" applyFill="1" applyBorder="1" applyProtection="1">
      <protection locked="0"/>
    </xf>
    <xf numFmtId="0" fontId="26" fillId="4" borderId="1" xfId="0" applyFont="1" applyFill="1" applyBorder="1" applyAlignment="1">
      <alignment horizontal="left" vertical="top"/>
    </xf>
    <xf numFmtId="44" fontId="26" fillId="4" borderId="1" xfId="2" applyFont="1" applyFill="1" applyBorder="1" applyAlignment="1" applyProtection="1">
      <alignment horizontal="right" vertical="top"/>
    </xf>
    <xf numFmtId="165" fontId="20" fillId="0" borderId="0" xfId="5" applyNumberFormat="1" applyFont="1" applyAlignment="1">
      <alignment horizontal="center"/>
    </xf>
    <xf numFmtId="164" fontId="20" fillId="0" borderId="0" xfId="0" applyNumberFormat="1" applyFont="1"/>
    <xf numFmtId="0" fontId="20" fillId="0" borderId="0" xfId="0" applyFont="1" applyAlignment="1">
      <alignment horizontal="center"/>
    </xf>
    <xf numFmtId="44" fontId="26" fillId="4" borderId="28" xfId="0" applyNumberFormat="1" applyFont="1" applyFill="1" applyBorder="1" applyProtection="1">
      <protection locked="0"/>
    </xf>
    <xf numFmtId="44" fontId="0" fillId="4" borderId="32" xfId="0" applyNumberFormat="1" applyFill="1" applyBorder="1" applyProtection="1">
      <protection locked="0"/>
    </xf>
    <xf numFmtId="44" fontId="26" fillId="4" borderId="32" xfId="0" applyNumberFormat="1" applyFont="1" applyFill="1" applyBorder="1" applyAlignment="1" applyProtection="1">
      <alignment horizontal="center"/>
      <protection locked="0"/>
    </xf>
    <xf numFmtId="44" fontId="7" fillId="4" borderId="31" xfId="0" applyNumberFormat="1" applyFont="1" applyFill="1" applyBorder="1" applyAlignment="1" applyProtection="1">
      <alignment horizontal="center"/>
      <protection locked="0"/>
    </xf>
    <xf numFmtId="44" fontId="0" fillId="4" borderId="0" xfId="0" applyNumberFormat="1" applyFill="1" applyProtection="1">
      <protection locked="0"/>
    </xf>
    <xf numFmtId="44" fontId="0" fillId="0" borderId="10" xfId="0" applyNumberFormat="1" applyBorder="1" applyProtection="1">
      <protection locked="0"/>
    </xf>
    <xf numFmtId="44" fontId="8" fillId="3" borderId="10" xfId="0" applyNumberFormat="1" applyFont="1" applyFill="1" applyBorder="1" applyAlignment="1" applyProtection="1">
      <alignment horizontal="right"/>
      <protection locked="0"/>
    </xf>
    <xf numFmtId="44" fontId="0" fillId="4" borderId="10" xfId="0" applyNumberFormat="1" applyFill="1" applyBorder="1" applyProtection="1">
      <protection locked="0"/>
    </xf>
    <xf numFmtId="44" fontId="0" fillId="4" borderId="33" xfId="0" applyNumberFormat="1" applyFill="1" applyBorder="1" applyProtection="1">
      <protection locked="0"/>
    </xf>
    <xf numFmtId="44" fontId="26" fillId="4" borderId="33" xfId="0" applyNumberFormat="1" applyFont="1" applyFill="1" applyBorder="1" applyAlignment="1" applyProtection="1">
      <alignment horizontal="right"/>
      <protection locked="0"/>
    </xf>
    <xf numFmtId="44" fontId="7" fillId="4" borderId="34" xfId="0" applyNumberFormat="1" applyFont="1" applyFill="1" applyBorder="1" applyAlignment="1" applyProtection="1">
      <alignment horizontal="center"/>
      <protection locked="0"/>
    </xf>
    <xf numFmtId="44" fontId="7" fillId="4" borderId="35" xfId="0" applyNumberFormat="1" applyFont="1" applyFill="1" applyBorder="1" applyAlignment="1" applyProtection="1">
      <alignment horizontal="center"/>
      <protection locked="0"/>
    </xf>
    <xf numFmtId="44" fontId="7" fillId="4" borderId="36" xfId="0" applyNumberFormat="1" applyFont="1" applyFill="1" applyBorder="1" applyAlignment="1" applyProtection="1">
      <alignment horizontal="center"/>
      <protection locked="0"/>
    </xf>
    <xf numFmtId="44" fontId="7" fillId="4" borderId="37" xfId="0" applyNumberFormat="1" applyFont="1" applyFill="1" applyBorder="1" applyAlignment="1" applyProtection="1">
      <alignment horizontal="center"/>
      <protection locked="0"/>
    </xf>
    <xf numFmtId="44" fontId="26" fillId="4" borderId="18" xfId="0" applyNumberFormat="1" applyFont="1" applyFill="1" applyBorder="1" applyProtection="1">
      <protection locked="0"/>
    </xf>
    <xf numFmtId="44" fontId="26" fillId="4" borderId="39" xfId="0" applyNumberFormat="1" applyFont="1" applyFill="1" applyBorder="1" applyAlignment="1" applyProtection="1">
      <alignment horizontal="right"/>
      <protection locked="0"/>
    </xf>
    <xf numFmtId="0" fontId="26" fillId="4" borderId="28" xfId="0" applyFont="1" applyFill="1" applyBorder="1" applyAlignment="1" applyProtection="1">
      <alignment horizontal="center"/>
      <protection locked="0"/>
    </xf>
    <xf numFmtId="0" fontId="26" fillId="4" borderId="30" xfId="0" applyFont="1" applyFill="1" applyBorder="1" applyAlignment="1" applyProtection="1">
      <alignment horizontal="center"/>
      <protection locked="0"/>
    </xf>
    <xf numFmtId="44" fontId="0" fillId="11" borderId="32" xfId="0" applyNumberFormat="1" applyFill="1" applyBorder="1" applyProtection="1">
      <protection locked="0"/>
    </xf>
    <xf numFmtId="44" fontId="0" fillId="11" borderId="33" xfId="0" applyNumberFormat="1" applyFill="1" applyBorder="1" applyProtection="1">
      <protection locked="0"/>
    </xf>
    <xf numFmtId="0" fontId="26" fillId="11" borderId="28" xfId="0" applyFont="1" applyFill="1" applyBorder="1" applyAlignment="1" applyProtection="1">
      <alignment horizontal="center"/>
      <protection locked="0"/>
    </xf>
    <xf numFmtId="44" fontId="0" fillId="11" borderId="0" xfId="0" applyNumberFormat="1" applyFill="1" applyProtection="1">
      <protection locked="0"/>
    </xf>
    <xf numFmtId="44" fontId="26" fillId="11" borderId="32" xfId="0" applyNumberFormat="1" applyFont="1" applyFill="1" applyBorder="1" applyAlignment="1" applyProtection="1">
      <alignment horizontal="center"/>
      <protection locked="0"/>
    </xf>
    <xf numFmtId="44" fontId="26" fillId="11" borderId="33" xfId="0" applyNumberFormat="1" applyFont="1" applyFill="1" applyBorder="1" applyAlignment="1" applyProtection="1">
      <alignment horizontal="right"/>
      <protection locked="0"/>
    </xf>
    <xf numFmtId="44" fontId="26" fillId="11" borderId="39" xfId="0" applyNumberFormat="1" applyFont="1" applyFill="1" applyBorder="1" applyAlignment="1" applyProtection="1">
      <alignment horizontal="right"/>
      <protection locked="0"/>
    </xf>
    <xf numFmtId="0" fontId="26" fillId="11" borderId="30" xfId="0" applyFont="1" applyFill="1" applyBorder="1" applyAlignment="1" applyProtection="1">
      <alignment horizontal="center"/>
      <protection locked="0"/>
    </xf>
    <xf numFmtId="44" fontId="7" fillId="11" borderId="37" xfId="0" applyNumberFormat="1" applyFont="1" applyFill="1" applyBorder="1" applyAlignment="1" applyProtection="1">
      <alignment horizontal="center"/>
      <protection locked="0"/>
    </xf>
    <xf numFmtId="44" fontId="26" fillId="11" borderId="28" xfId="0" applyNumberFormat="1" applyFont="1" applyFill="1" applyBorder="1" applyProtection="1">
      <protection locked="0"/>
    </xf>
    <xf numFmtId="44" fontId="26" fillId="11" borderId="18" xfId="0" applyNumberFormat="1" applyFont="1" applyFill="1" applyBorder="1" applyProtection="1">
      <protection locked="0"/>
    </xf>
    <xf numFmtId="44" fontId="7" fillId="11" borderId="31" xfId="0" applyNumberFormat="1" applyFont="1" applyFill="1" applyBorder="1" applyAlignment="1" applyProtection="1">
      <alignment horizontal="center"/>
      <protection locked="0"/>
    </xf>
    <xf numFmtId="44" fontId="7" fillId="11" borderId="34" xfId="0" applyNumberFormat="1" applyFont="1" applyFill="1" applyBorder="1" applyAlignment="1" applyProtection="1">
      <alignment horizontal="center"/>
      <protection locked="0"/>
    </xf>
    <xf numFmtId="0" fontId="7" fillId="11" borderId="14" xfId="0" applyFont="1" applyFill="1" applyBorder="1" applyAlignment="1" applyProtection="1">
      <alignment horizontal="center"/>
      <protection locked="0"/>
    </xf>
    <xf numFmtId="44" fontId="7" fillId="11" borderId="14" xfId="0" applyNumberFormat="1" applyFont="1" applyFill="1" applyBorder="1" applyAlignment="1" applyProtection="1">
      <alignment horizontal="center"/>
      <protection locked="0"/>
    </xf>
    <xf numFmtId="166" fontId="7" fillId="11" borderId="22" xfId="0" applyNumberFormat="1" applyFont="1" applyFill="1" applyBorder="1" applyAlignment="1" applyProtection="1">
      <alignment horizontal="center"/>
      <protection locked="0"/>
    </xf>
    <xf numFmtId="44" fontId="7" fillId="11" borderId="35" xfId="0" applyNumberFormat="1" applyFont="1" applyFill="1" applyBorder="1" applyAlignment="1" applyProtection="1">
      <alignment horizontal="center"/>
      <protection locked="0"/>
    </xf>
    <xf numFmtId="44" fontId="7" fillId="11" borderId="36" xfId="0" applyNumberFormat="1" applyFont="1" applyFill="1" applyBorder="1" applyAlignment="1" applyProtection="1">
      <alignment horizontal="center"/>
      <protection locked="0"/>
    </xf>
    <xf numFmtId="166" fontId="7" fillId="11" borderId="14" xfId="0" applyNumberFormat="1" applyFont="1" applyFill="1" applyBorder="1" applyAlignment="1" applyProtection="1">
      <alignment horizontal="center"/>
      <protection locked="0"/>
    </xf>
    <xf numFmtId="44" fontId="7" fillId="11" borderId="26" xfId="0" applyNumberFormat="1" applyFont="1" applyFill="1" applyBorder="1" applyAlignment="1" applyProtection="1">
      <alignment horizontal="center"/>
      <protection locked="0"/>
    </xf>
    <xf numFmtId="44" fontId="7" fillId="11" borderId="20" xfId="0" applyNumberFormat="1" applyFont="1" applyFill="1" applyBorder="1" applyAlignment="1" applyProtection="1">
      <alignment horizontal="center"/>
      <protection locked="0"/>
    </xf>
    <xf numFmtId="44" fontId="0" fillId="11" borderId="27" xfId="0" applyNumberFormat="1" applyFill="1" applyBorder="1" applyProtection="1">
      <protection locked="0"/>
    </xf>
    <xf numFmtId="44" fontId="0" fillId="11" borderId="7" xfId="0" applyNumberFormat="1" applyFill="1" applyBorder="1" applyProtection="1">
      <protection locked="0"/>
    </xf>
    <xf numFmtId="0" fontId="0" fillId="11" borderId="1" xfId="0" applyFill="1" applyBorder="1" applyAlignment="1" applyProtection="1">
      <alignment horizontal="center"/>
      <protection locked="0"/>
    </xf>
    <xf numFmtId="44" fontId="0" fillId="11" borderId="1" xfId="0" applyNumberFormat="1" applyFill="1" applyBorder="1" applyProtection="1">
      <protection locked="0"/>
    </xf>
    <xf numFmtId="10" fontId="0" fillId="11" borderId="1" xfId="0" applyNumberFormat="1" applyFill="1" applyBorder="1" applyProtection="1">
      <protection locked="0"/>
    </xf>
    <xf numFmtId="44" fontId="0" fillId="11" borderId="8" xfId="0" applyNumberFormat="1" applyFill="1" applyBorder="1" applyProtection="1">
      <protection locked="0"/>
    </xf>
    <xf numFmtId="44" fontId="0" fillId="11" borderId="10" xfId="0" applyNumberFormat="1" applyFill="1" applyBorder="1" applyProtection="1">
      <protection locked="0"/>
    </xf>
    <xf numFmtId="44" fontId="0" fillId="11" borderId="25" xfId="0" applyNumberFormat="1" applyFill="1" applyBorder="1" applyProtection="1">
      <protection locked="0"/>
    </xf>
    <xf numFmtId="0" fontId="14" fillId="11" borderId="12" xfId="0" applyFont="1" applyFill="1" applyBorder="1" applyAlignment="1">
      <alignment horizontal="center" wrapText="1"/>
    </xf>
    <xf numFmtId="0" fontId="14" fillId="11" borderId="13" xfId="0" applyFont="1" applyFill="1" applyBorder="1" applyAlignment="1">
      <alignment horizontal="center" wrapText="1"/>
    </xf>
    <xf numFmtId="0" fontId="26" fillId="11" borderId="1" xfId="0" applyFont="1" applyFill="1" applyBorder="1" applyAlignment="1">
      <alignment horizontal="left" vertical="top"/>
    </xf>
    <xf numFmtId="44" fontId="26" fillId="11" borderId="1" xfId="2" applyFont="1" applyFill="1" applyBorder="1" applyAlignment="1" applyProtection="1">
      <alignment horizontal="right" vertical="top"/>
    </xf>
    <xf numFmtId="44" fontId="12" fillId="6" borderId="1" xfId="3" applyFont="1" applyFill="1" applyBorder="1" applyAlignment="1">
      <alignment horizontal="right"/>
    </xf>
    <xf numFmtId="44" fontId="26" fillId="4" borderId="1" xfId="2" applyFont="1" applyFill="1" applyBorder="1" applyProtection="1">
      <protection locked="0"/>
    </xf>
    <xf numFmtId="0" fontId="0" fillId="0" borderId="1" xfId="0" applyBorder="1" applyAlignment="1">
      <alignment vertical="center"/>
    </xf>
    <xf numFmtId="44" fontId="0" fillId="0" borderId="1" xfId="0" applyNumberFormat="1" applyBorder="1" applyAlignment="1" applyProtection="1">
      <alignment vertical="center"/>
      <protection locked="0"/>
    </xf>
    <xf numFmtId="0" fontId="0" fillId="0" borderId="1" xfId="0" applyBorder="1" applyAlignment="1">
      <alignment horizontal="center" vertical="center"/>
    </xf>
    <xf numFmtId="9" fontId="6" fillId="0" borderId="1" xfId="5" applyFont="1" applyBorder="1" applyAlignment="1">
      <alignment horizontal="center" vertical="center"/>
    </xf>
    <xf numFmtId="44" fontId="10" fillId="6" borderId="1" xfId="3" applyFont="1" applyFill="1" applyBorder="1" applyAlignment="1">
      <alignment horizontal="right" vertical="center"/>
    </xf>
    <xf numFmtId="10" fontId="10" fillId="0" borderId="1" xfId="2" applyNumberFormat="1" applyFont="1" applyFill="1" applyBorder="1" applyAlignment="1" applyProtection="1">
      <alignment horizontal="right" vertical="center"/>
    </xf>
    <xf numFmtId="44" fontId="10" fillId="0" borderId="1" xfId="2" applyFont="1" applyFill="1" applyBorder="1" applyAlignment="1" applyProtection="1">
      <alignment horizontal="right" vertical="center"/>
    </xf>
    <xf numFmtId="44" fontId="0" fillId="0" borderId="41" xfId="0" applyNumberFormat="1" applyBorder="1" applyProtection="1">
      <protection locked="0"/>
    </xf>
    <xf numFmtId="44" fontId="0" fillId="0" borderId="42" xfId="0" applyNumberFormat="1" applyBorder="1" applyProtection="1">
      <protection locked="0"/>
    </xf>
    <xf numFmtId="0" fontId="0" fillId="0" borderId="9" xfId="0" applyBorder="1" applyAlignment="1" applyProtection="1">
      <alignment horizontal="left"/>
      <protection locked="0"/>
    </xf>
    <xf numFmtId="10" fontId="10" fillId="0" borderId="1" xfId="2" applyNumberFormat="1" applyFont="1" applyFill="1" applyBorder="1" applyAlignment="1" applyProtection="1">
      <alignment horizontal="center" vertical="top"/>
    </xf>
    <xf numFmtId="44" fontId="10" fillId="6" borderId="1" xfId="3" applyFont="1" applyFill="1" applyBorder="1" applyAlignment="1">
      <alignment horizontal="left"/>
    </xf>
    <xf numFmtId="44" fontId="8" fillId="0" borderId="1" xfId="0" applyNumberFormat="1" applyFont="1" applyBorder="1" applyProtection="1">
      <protection locked="0"/>
    </xf>
    <xf numFmtId="44" fontId="32" fillId="0" borderId="1" xfId="2" applyFont="1" applyFill="1" applyBorder="1" applyAlignment="1" applyProtection="1">
      <alignment horizontal="right" vertical="top"/>
    </xf>
    <xf numFmtId="0" fontId="32" fillId="0" borderId="1" xfId="0" applyFont="1" applyBorder="1" applyAlignment="1">
      <alignment horizontal="left" vertical="top"/>
    </xf>
    <xf numFmtId="0" fontId="11" fillId="0" borderId="1" xfId="6" applyFont="1" applyBorder="1" applyAlignment="1">
      <alignment horizontal="left" wrapText="1"/>
    </xf>
    <xf numFmtId="0" fontId="28" fillId="0" borderId="1" xfId="6" applyFont="1" applyBorder="1" applyAlignment="1">
      <alignment wrapText="1"/>
    </xf>
    <xf numFmtId="0" fontId="28" fillId="0" borderId="1" xfId="6" applyFont="1" applyBorder="1" applyAlignment="1">
      <alignment horizontal="left" wrapText="1"/>
    </xf>
    <xf numFmtId="0" fontId="0" fillId="0" borderId="41" xfId="0" applyBorder="1" applyAlignment="1" applyProtection="1">
      <alignment horizontal="left"/>
      <protection locked="0"/>
    </xf>
    <xf numFmtId="0" fontId="0" fillId="0" borderId="1" xfId="0" applyBorder="1" applyAlignment="1">
      <alignment vertical="center" wrapText="1"/>
    </xf>
    <xf numFmtId="0" fontId="28" fillId="0" borderId="1" xfId="4" applyFont="1" applyBorder="1" applyAlignment="1">
      <alignment horizontal="left" vertical="center" wrapText="1"/>
    </xf>
    <xf numFmtId="0" fontId="0" fillId="7" borderId="1" xfId="0" applyFill="1" applyBorder="1" applyAlignment="1" applyProtection="1">
      <alignment horizontal="center"/>
      <protection locked="0"/>
    </xf>
    <xf numFmtId="44" fontId="0" fillId="7" borderId="41" xfId="0" applyNumberFormat="1" applyFill="1" applyBorder="1" applyProtection="1">
      <protection locked="0"/>
    </xf>
    <xf numFmtId="0" fontId="28" fillId="0" borderId="1" xfId="0" applyFont="1" applyBorder="1" applyAlignment="1" applyProtection="1">
      <alignment horizontal="left"/>
      <protection locked="0"/>
    </xf>
    <xf numFmtId="44" fontId="0" fillId="7" borderId="10" xfId="0" applyNumberFormat="1" applyFill="1" applyBorder="1" applyProtection="1">
      <protection locked="0"/>
    </xf>
    <xf numFmtId="44" fontId="0" fillId="7" borderId="7" xfId="0" applyNumberFormat="1" applyFill="1" applyBorder="1" applyProtection="1">
      <protection locked="0"/>
    </xf>
    <xf numFmtId="44" fontId="0" fillId="7" borderId="1" xfId="0" applyNumberFormat="1" applyFill="1" applyBorder="1" applyAlignment="1" applyProtection="1">
      <alignment vertical="center"/>
      <protection locked="0"/>
    </xf>
    <xf numFmtId="0" fontId="0" fillId="7" borderId="1" xfId="0" applyFill="1" applyBorder="1" applyAlignment="1">
      <alignment horizontal="center" vertical="center"/>
    </xf>
    <xf numFmtId="44" fontId="34" fillId="0" borderId="1" xfId="2" applyFont="1" applyFill="1" applyBorder="1" applyAlignment="1" applyProtection="1">
      <alignment horizontal="right" vertical="top"/>
    </xf>
    <xf numFmtId="0" fontId="34" fillId="0" borderId="1" xfId="0" applyFont="1" applyBorder="1" applyAlignment="1">
      <alignment horizontal="left" vertical="top"/>
    </xf>
    <xf numFmtId="0" fontId="7" fillId="12" borderId="9" xfId="0" applyFont="1" applyFill="1" applyBorder="1" applyAlignment="1" applyProtection="1">
      <alignment vertical="center" wrapText="1"/>
      <protection locked="0"/>
    </xf>
    <xf numFmtId="0" fontId="26" fillId="11" borderId="1" xfId="0" applyFont="1" applyFill="1" applyBorder="1" applyAlignment="1">
      <alignment horizontal="left" vertical="top" wrapText="1"/>
    </xf>
    <xf numFmtId="44" fontId="26" fillId="11" borderId="7" xfId="0" applyNumberFormat="1" applyFont="1" applyFill="1" applyBorder="1" applyAlignment="1">
      <alignment vertical="center"/>
    </xf>
    <xf numFmtId="0" fontId="26" fillId="4" borderId="1" xfId="0" applyFont="1" applyFill="1" applyBorder="1" applyAlignment="1">
      <alignment horizontal="left" vertical="top" wrapText="1"/>
    </xf>
    <xf numFmtId="44" fontId="26" fillId="4" borderId="1" xfId="2" applyFont="1" applyFill="1" applyBorder="1" applyAlignment="1" applyProtection="1">
      <alignment horizontal="right" vertical="center"/>
    </xf>
    <xf numFmtId="44" fontId="0" fillId="0" borderId="9" xfId="0" applyNumberFormat="1" applyBorder="1" applyProtection="1">
      <protection locked="0"/>
    </xf>
    <xf numFmtId="44" fontId="0" fillId="7" borderId="1" xfId="0" applyNumberFormat="1" applyFill="1" applyBorder="1" applyProtection="1">
      <protection locked="0"/>
    </xf>
    <xf numFmtId="0" fontId="0" fillId="7" borderId="1" xfId="0" applyFill="1" applyBorder="1" applyAlignment="1">
      <alignment horizontal="center"/>
    </xf>
    <xf numFmtId="165" fontId="6" fillId="0" borderId="1" xfId="5" applyNumberFormat="1" applyFont="1" applyBorder="1" applyAlignment="1">
      <alignment horizontal="center" vertical="center"/>
    </xf>
    <xf numFmtId="43" fontId="9" fillId="0" borderId="0" xfId="7" applyFont="1"/>
    <xf numFmtId="43" fontId="9" fillId="0" borderId="0" xfId="0" applyNumberFormat="1" applyFont="1"/>
    <xf numFmtId="0" fontId="28" fillId="0" borderId="9" xfId="6" applyFont="1" applyBorder="1" applyAlignment="1">
      <alignment horizontal="left" wrapText="1"/>
    </xf>
    <xf numFmtId="0" fontId="10" fillId="0" borderId="1" xfId="6" applyFont="1" applyBorder="1" applyAlignment="1">
      <alignment horizontal="right" wrapText="1"/>
    </xf>
    <xf numFmtId="43" fontId="0" fillId="0" borderId="0" xfId="7" applyFont="1" applyAlignment="1">
      <alignment vertical="center"/>
    </xf>
    <xf numFmtId="44" fontId="0" fillId="0" borderId="0" xfId="0" applyNumberFormat="1"/>
    <xf numFmtId="44" fontId="9" fillId="0" borderId="0" xfId="0" applyNumberFormat="1" applyFont="1" applyAlignment="1">
      <alignment wrapText="1"/>
    </xf>
    <xf numFmtId="0" fontId="26" fillId="4" borderId="1" xfId="4" applyFont="1" applyFill="1" applyBorder="1" applyAlignment="1">
      <alignment horizontal="right" wrapText="1"/>
    </xf>
    <xf numFmtId="0" fontId="14" fillId="4" borderId="1" xfId="0" applyFont="1" applyFill="1" applyBorder="1" applyAlignment="1">
      <alignment horizontal="center" wrapText="1"/>
    </xf>
    <xf numFmtId="0" fontId="10" fillId="0" borderId="1" xfId="4" applyFont="1" applyBorder="1" applyAlignment="1">
      <alignment horizontal="left" wrapText="1"/>
    </xf>
    <xf numFmtId="0" fontId="10" fillId="0" borderId="1" xfId="6" applyFont="1" applyBorder="1" applyAlignment="1">
      <alignment horizontal="left" wrapText="1"/>
    </xf>
    <xf numFmtId="0" fontId="25" fillId="4" borderId="1" xfId="0" applyFont="1" applyFill="1" applyBorder="1" applyAlignment="1">
      <alignment horizontal="left" vertical="top"/>
    </xf>
    <xf numFmtId="0" fontId="25" fillId="4" borderId="9" xfId="0" applyFont="1" applyFill="1" applyBorder="1" applyAlignment="1">
      <alignment horizontal="left" vertical="top"/>
    </xf>
    <xf numFmtId="0" fontId="25" fillId="4" borderId="1" xfId="0" applyFont="1" applyFill="1" applyBorder="1" applyAlignment="1">
      <alignment horizontal="center" vertical="top"/>
    </xf>
    <xf numFmtId="0" fontId="5" fillId="7" borderId="1" xfId="0" applyFont="1" applyFill="1" applyBorder="1" applyAlignment="1">
      <alignment horizontal="left" vertical="top" wrapText="1"/>
    </xf>
    <xf numFmtId="0" fontId="20" fillId="7" borderId="1" xfId="0" applyFont="1" applyFill="1" applyBorder="1" applyAlignment="1">
      <alignment horizontal="left" vertical="top" wrapText="1"/>
    </xf>
    <xf numFmtId="0" fontId="9" fillId="0" borderId="9" xfId="0" applyFont="1" applyBorder="1" applyAlignment="1">
      <alignment horizontal="center"/>
    </xf>
    <xf numFmtId="0" fontId="9" fillId="0" borderId="7" xfId="0" applyFont="1" applyBorder="1" applyAlignment="1">
      <alignment horizontal="center"/>
    </xf>
    <xf numFmtId="44" fontId="26" fillId="11" borderId="29" xfId="0" applyNumberFormat="1" applyFont="1" applyFill="1" applyBorder="1" applyAlignment="1" applyProtection="1">
      <alignment horizontal="center"/>
      <protection locked="0"/>
    </xf>
    <xf numFmtId="44" fontId="26" fillId="11" borderId="16" xfId="0" applyNumberFormat="1" applyFont="1" applyFill="1" applyBorder="1" applyAlignment="1" applyProtection="1">
      <alignment horizontal="center"/>
      <protection locked="0"/>
    </xf>
    <xf numFmtId="44" fontId="26" fillId="11" borderId="24" xfId="0" applyNumberFormat="1" applyFont="1" applyFill="1" applyBorder="1" applyAlignment="1" applyProtection="1">
      <alignment horizontal="center"/>
      <protection locked="0"/>
    </xf>
    <xf numFmtId="44" fontId="26" fillId="4" borderId="29" xfId="0" applyNumberFormat="1" applyFont="1" applyFill="1" applyBorder="1" applyAlignment="1" applyProtection="1">
      <alignment horizontal="center"/>
      <protection locked="0"/>
    </xf>
    <xf numFmtId="44" fontId="26" fillId="4" borderId="16" xfId="0" applyNumberFormat="1" applyFont="1" applyFill="1" applyBorder="1" applyAlignment="1" applyProtection="1">
      <alignment horizontal="center"/>
      <protection locked="0"/>
    </xf>
    <xf numFmtId="44" fontId="26" fillId="4" borderId="24" xfId="0" applyNumberFormat="1" applyFont="1" applyFill="1" applyBorder="1" applyAlignment="1" applyProtection="1">
      <alignment horizontal="center"/>
      <protection locked="0"/>
    </xf>
    <xf numFmtId="44" fontId="33" fillId="4" borderId="29" xfId="0" applyNumberFormat="1" applyFont="1" applyFill="1" applyBorder="1" applyAlignment="1" applyProtection="1">
      <alignment horizontal="center"/>
      <protection locked="0"/>
    </xf>
    <xf numFmtId="44" fontId="33" fillId="4" borderId="16" xfId="0" applyNumberFormat="1" applyFont="1" applyFill="1" applyBorder="1" applyAlignment="1" applyProtection="1">
      <alignment horizontal="center"/>
      <protection locked="0"/>
    </xf>
    <xf numFmtId="44" fontId="33" fillId="4" borderId="24" xfId="0" applyNumberFormat="1" applyFont="1" applyFill="1" applyBorder="1" applyAlignment="1" applyProtection="1">
      <alignment horizontal="center"/>
      <protection locked="0"/>
    </xf>
    <xf numFmtId="0" fontId="26" fillId="11" borderId="16" xfId="0" applyFont="1" applyFill="1" applyBorder="1" applyAlignment="1" applyProtection="1">
      <alignment horizontal="center"/>
      <protection locked="0"/>
    </xf>
    <xf numFmtId="0" fontId="26" fillId="11" borderId="24" xfId="0" applyFont="1" applyFill="1" applyBorder="1" applyAlignment="1" applyProtection="1">
      <alignment horizontal="center"/>
      <protection locked="0"/>
    </xf>
    <xf numFmtId="0" fontId="26" fillId="4" borderId="16" xfId="0" applyFont="1" applyFill="1" applyBorder="1" applyAlignment="1" applyProtection="1">
      <alignment horizontal="center"/>
      <protection locked="0"/>
    </xf>
    <xf numFmtId="0" fontId="26" fillId="4" borderId="24" xfId="0" applyFont="1" applyFill="1" applyBorder="1" applyAlignment="1" applyProtection="1">
      <alignment horizontal="center"/>
      <protection locked="0"/>
    </xf>
    <xf numFmtId="44" fontId="0" fillId="11" borderId="38" xfId="0" applyNumberFormat="1" applyFill="1" applyBorder="1" applyAlignment="1" applyProtection="1">
      <alignment horizontal="center"/>
      <protection locked="0"/>
    </xf>
    <xf numFmtId="44" fontId="0" fillId="11" borderId="23" xfId="0" applyNumberFormat="1" applyFill="1" applyBorder="1" applyAlignment="1" applyProtection="1">
      <alignment horizontal="center"/>
      <protection locked="0"/>
    </xf>
    <xf numFmtId="44" fontId="0" fillId="11" borderId="21" xfId="0" applyNumberFormat="1" applyFill="1" applyBorder="1" applyAlignment="1" applyProtection="1">
      <alignment horizontal="center"/>
      <protection locked="0"/>
    </xf>
    <xf numFmtId="0" fontId="26" fillId="11" borderId="38" xfId="0" applyFont="1" applyFill="1" applyBorder="1" applyAlignment="1" applyProtection="1">
      <alignment horizontal="center"/>
      <protection locked="0"/>
    </xf>
    <xf numFmtId="0" fontId="26" fillId="11" borderId="23" xfId="0" applyFont="1" applyFill="1" applyBorder="1" applyAlignment="1" applyProtection="1">
      <alignment horizontal="center"/>
      <protection locked="0"/>
    </xf>
    <xf numFmtId="0" fontId="26" fillId="11" borderId="21" xfId="0" applyFont="1" applyFill="1" applyBorder="1" applyAlignment="1" applyProtection="1">
      <alignment horizontal="center"/>
      <protection locked="0"/>
    </xf>
    <xf numFmtId="44" fontId="0" fillId="4" borderId="38" xfId="0" applyNumberFormat="1" applyFill="1" applyBorder="1" applyAlignment="1" applyProtection="1">
      <alignment horizontal="center"/>
      <protection locked="0"/>
    </xf>
    <xf numFmtId="44" fontId="0" fillId="4" borderId="23" xfId="0" applyNumberFormat="1" applyFill="1" applyBorder="1" applyAlignment="1" applyProtection="1">
      <alignment horizontal="center"/>
      <protection locked="0"/>
    </xf>
    <xf numFmtId="44" fontId="0" fillId="4" borderId="21" xfId="0" applyNumberFormat="1" applyFill="1" applyBorder="1" applyAlignment="1" applyProtection="1">
      <alignment horizontal="center"/>
      <protection locked="0"/>
    </xf>
    <xf numFmtId="0" fontId="26" fillId="4" borderId="38" xfId="0" applyFont="1" applyFill="1" applyBorder="1" applyAlignment="1" applyProtection="1">
      <alignment horizontal="center"/>
      <protection locked="0"/>
    </xf>
    <xf numFmtId="0" fontId="26" fillId="4" borderId="23" xfId="0" applyFont="1" applyFill="1" applyBorder="1" applyAlignment="1" applyProtection="1">
      <alignment horizontal="center"/>
      <protection locked="0"/>
    </xf>
    <xf numFmtId="0" fontId="26" fillId="4" borderId="21" xfId="0" applyFont="1" applyFill="1" applyBorder="1" applyAlignment="1" applyProtection="1">
      <alignment horizontal="center"/>
      <protection locked="0"/>
    </xf>
    <xf numFmtId="0" fontId="27" fillId="7" borderId="1" xfId="4" applyFont="1" applyFill="1" applyBorder="1" applyAlignment="1">
      <alignment horizontal="left" vertical="center" wrapText="1"/>
    </xf>
    <xf numFmtId="0" fontId="4" fillId="7" borderId="1" xfId="4" applyFont="1" applyFill="1" applyBorder="1" applyAlignment="1">
      <alignment vertical="center" wrapText="1"/>
    </xf>
    <xf numFmtId="0" fontId="29" fillId="4" borderId="11" xfId="0" applyFont="1" applyFill="1" applyBorder="1" applyAlignment="1">
      <alignment horizontal="center"/>
    </xf>
    <xf numFmtId="0" fontId="29" fillId="4" borderId="0" xfId="0" applyFont="1" applyFill="1" applyAlignment="1">
      <alignment horizontal="center"/>
    </xf>
    <xf numFmtId="0" fontId="29" fillId="11" borderId="11" xfId="0" applyFont="1" applyFill="1" applyBorder="1" applyAlignment="1">
      <alignment horizontal="center"/>
    </xf>
    <xf numFmtId="0" fontId="29" fillId="11" borderId="0" xfId="0" applyFont="1" applyFill="1" applyAlignment="1">
      <alignment horizontal="center"/>
    </xf>
    <xf numFmtId="0" fontId="25" fillId="11" borderId="1" xfId="0" applyFont="1" applyFill="1" applyBorder="1" applyAlignment="1">
      <alignment horizontal="left" vertical="top"/>
    </xf>
    <xf numFmtId="0" fontId="25" fillId="11" borderId="1" xfId="0" applyFont="1" applyFill="1" applyBorder="1" applyAlignment="1">
      <alignment horizontal="center" vertical="top"/>
    </xf>
    <xf numFmtId="0" fontId="19" fillId="5" borderId="1" xfId="4" applyFont="1" applyFill="1" applyBorder="1" applyAlignment="1">
      <alignment wrapText="1"/>
    </xf>
    <xf numFmtId="0" fontId="30" fillId="7" borderId="1" xfId="4" applyFont="1" applyFill="1" applyBorder="1" applyAlignment="1">
      <alignment wrapText="1"/>
    </xf>
    <xf numFmtId="0" fontId="29" fillId="4" borderId="1" xfId="0" applyFont="1" applyFill="1" applyBorder="1" applyAlignment="1" applyProtection="1">
      <alignment horizontal="center"/>
      <protection locked="0"/>
    </xf>
    <xf numFmtId="0" fontId="27" fillId="7" borderId="1" xfId="4" applyFont="1" applyFill="1" applyBorder="1" applyAlignment="1">
      <alignment wrapText="1"/>
    </xf>
    <xf numFmtId="0" fontId="21" fillId="0" borderId="1" xfId="4" applyFont="1" applyBorder="1" applyAlignment="1">
      <alignment horizontal="center" wrapText="1"/>
    </xf>
    <xf numFmtId="0" fontId="4" fillId="7" borderId="1" xfId="4" applyFont="1" applyFill="1" applyBorder="1" applyAlignment="1">
      <alignment wrapText="1"/>
    </xf>
    <xf numFmtId="10" fontId="10" fillId="0" borderId="9" xfId="2" applyNumberFormat="1" applyFont="1" applyFill="1" applyBorder="1" applyAlignment="1" applyProtection="1">
      <alignment horizontal="center" vertical="top"/>
    </xf>
    <xf numFmtId="10" fontId="10" fillId="0" borderId="7" xfId="2" applyNumberFormat="1" applyFont="1" applyFill="1" applyBorder="1" applyAlignment="1" applyProtection="1">
      <alignment horizontal="center" vertical="top"/>
    </xf>
    <xf numFmtId="0" fontId="29" fillId="4" borderId="9" xfId="0" applyFont="1" applyFill="1" applyBorder="1" applyAlignment="1" applyProtection="1">
      <alignment horizontal="center"/>
      <protection locked="0"/>
    </xf>
    <xf numFmtId="0" fontId="29" fillId="4" borderId="7" xfId="0" applyFont="1" applyFill="1" applyBorder="1" applyAlignment="1" applyProtection="1">
      <alignment horizontal="center"/>
      <protection locked="0"/>
    </xf>
    <xf numFmtId="0" fontId="27" fillId="7" borderId="9" xfId="4" applyFont="1" applyFill="1" applyBorder="1" applyAlignment="1">
      <alignment horizontal="left" vertical="top" wrapText="1"/>
    </xf>
    <xf numFmtId="0" fontId="27" fillId="7" borderId="7" xfId="4" applyFont="1" applyFill="1" applyBorder="1" applyAlignment="1">
      <alignment horizontal="left" vertical="top" wrapText="1"/>
    </xf>
    <xf numFmtId="0" fontId="27" fillId="7" borderId="9" xfId="4" applyFont="1" applyFill="1" applyBorder="1" applyAlignment="1">
      <alignment horizontal="left" wrapText="1"/>
    </xf>
    <xf numFmtId="0" fontId="27" fillId="7" borderId="7" xfId="4" applyFont="1" applyFill="1" applyBorder="1" applyAlignment="1">
      <alignment horizontal="left" wrapText="1"/>
    </xf>
    <xf numFmtId="0" fontId="19" fillId="5" borderId="9" xfId="4" applyFont="1" applyFill="1" applyBorder="1" applyAlignment="1">
      <alignment horizontal="left" wrapText="1"/>
    </xf>
    <xf numFmtId="0" fontId="19" fillId="5" borderId="7" xfId="4" applyFont="1" applyFill="1" applyBorder="1" applyAlignment="1">
      <alignment horizontal="left" wrapText="1"/>
    </xf>
    <xf numFmtId="0" fontId="10" fillId="0" borderId="1" xfId="4" applyFont="1" applyBorder="1" applyAlignment="1">
      <alignment horizontal="left" wrapText="1"/>
    </xf>
    <xf numFmtId="0" fontId="26" fillId="4" borderId="1" xfId="4" applyFont="1" applyFill="1" applyBorder="1" applyAlignment="1">
      <alignment horizontal="right" wrapText="1"/>
    </xf>
    <xf numFmtId="0" fontId="19" fillId="5" borderId="1" xfId="4" applyFont="1" applyFill="1" applyBorder="1" applyAlignment="1">
      <alignment horizontal="left" wrapText="1"/>
    </xf>
    <xf numFmtId="0" fontId="14" fillId="4" borderId="1" xfId="0" applyFont="1" applyFill="1" applyBorder="1" applyAlignment="1">
      <alignment horizontal="center" wrapText="1"/>
    </xf>
    <xf numFmtId="0" fontId="27" fillId="7" borderId="1" xfId="4" applyFont="1" applyFill="1" applyBorder="1" applyAlignment="1">
      <alignment horizontal="left" wrapText="1"/>
    </xf>
    <xf numFmtId="0" fontId="30" fillId="7" borderId="1" xfId="4" applyFont="1" applyFill="1" applyBorder="1" applyAlignment="1">
      <alignment horizontal="left" wrapText="1"/>
    </xf>
    <xf numFmtId="0" fontId="19" fillId="5" borderId="1" xfId="4" applyFont="1" applyFill="1" applyBorder="1"/>
    <xf numFmtId="44" fontId="26" fillId="4" borderId="1" xfId="2" applyFont="1" applyFill="1" applyBorder="1" applyAlignment="1">
      <alignment horizontal="right" wrapText="1"/>
    </xf>
    <xf numFmtId="0" fontId="19" fillId="5" borderId="9" xfId="4" applyFont="1" applyFill="1" applyBorder="1"/>
    <xf numFmtId="0" fontId="19" fillId="5" borderId="40" xfId="4" applyFont="1" applyFill="1" applyBorder="1"/>
    <xf numFmtId="0" fontId="19" fillId="5" borderId="7" xfId="4" applyFont="1" applyFill="1" applyBorder="1"/>
    <xf numFmtId="0" fontId="10" fillId="0" borderId="9" xfId="4" applyFont="1" applyBorder="1" applyAlignment="1">
      <alignment horizontal="left" wrapText="1"/>
    </xf>
    <xf numFmtId="0" fontId="10" fillId="0" borderId="40" xfId="4" applyFont="1" applyBorder="1" applyAlignment="1">
      <alignment horizontal="left" wrapText="1"/>
    </xf>
    <xf numFmtId="0" fontId="10" fillId="0" borderId="7" xfId="4" applyFont="1" applyBorder="1" applyAlignment="1">
      <alignment horizontal="left" wrapText="1"/>
    </xf>
    <xf numFmtId="0" fontId="27" fillId="7" borderId="1" xfId="4" applyFont="1" applyFill="1" applyBorder="1" applyAlignment="1">
      <alignment horizontal="left" vertical="top" wrapText="1"/>
    </xf>
    <xf numFmtId="0" fontId="27" fillId="7" borderId="1" xfId="6" applyFont="1" applyFill="1" applyBorder="1" applyAlignment="1">
      <alignment horizontal="left" wrapText="1"/>
    </xf>
    <xf numFmtId="0" fontId="27" fillId="7" borderId="1" xfId="6" applyFont="1" applyFill="1" applyBorder="1" applyAlignment="1">
      <alignment horizontal="left" vertical="top" wrapText="1"/>
    </xf>
    <xf numFmtId="0" fontId="19" fillId="5" borderId="1" xfId="6" applyFont="1" applyFill="1" applyBorder="1" applyAlignment="1">
      <alignment wrapText="1"/>
    </xf>
    <xf numFmtId="0" fontId="26" fillId="4" borderId="1" xfId="6" applyFont="1" applyFill="1" applyBorder="1" applyAlignment="1">
      <alignment horizontal="right" wrapText="1"/>
    </xf>
    <xf numFmtId="0" fontId="11" fillId="0" borderId="9" xfId="6" applyFont="1" applyBorder="1" applyAlignment="1">
      <alignment horizontal="left" wrapText="1"/>
    </xf>
    <xf numFmtId="0" fontId="11" fillId="0" borderId="40" xfId="6" applyFont="1" applyBorder="1" applyAlignment="1">
      <alignment horizontal="left" wrapText="1"/>
    </xf>
    <xf numFmtId="0" fontId="11" fillId="0" borderId="7" xfId="6" applyFont="1" applyBorder="1" applyAlignment="1">
      <alignment horizontal="left" wrapText="1"/>
    </xf>
    <xf numFmtId="0" fontId="11" fillId="7" borderId="9" xfId="6" applyFont="1" applyFill="1" applyBorder="1" applyAlignment="1">
      <alignment horizontal="left" wrapText="1"/>
    </xf>
    <xf numFmtId="0" fontId="11" fillId="7" borderId="7" xfId="6" applyFont="1" applyFill="1" applyBorder="1" applyAlignment="1">
      <alignment horizontal="left" wrapText="1"/>
    </xf>
    <xf numFmtId="0" fontId="19" fillId="5" borderId="1" xfId="6" applyFont="1" applyFill="1" applyBorder="1" applyAlignment="1">
      <alignment horizontal="left" wrapText="1"/>
    </xf>
    <xf numFmtId="0" fontId="19" fillId="5" borderId="1" xfId="6" applyFont="1" applyFill="1" applyBorder="1"/>
    <xf numFmtId="0" fontId="10" fillId="0" borderId="1" xfId="6" applyFont="1" applyBorder="1" applyAlignment="1">
      <alignment horizontal="left" wrapText="1"/>
    </xf>
  </cellXfs>
  <cellStyles count="8">
    <cellStyle name="0,0_x000d__x000a_NA_x000d__x000a_" xfId="1" xr:uid="{00000000-0005-0000-0000-000000000000}"/>
    <cellStyle name="Comma" xfId="7" builtinId="3"/>
    <cellStyle name="Currency" xfId="2" builtinId="4"/>
    <cellStyle name="Currency 10" xfId="3" xr:uid="{00000000-0005-0000-0000-000003000000}"/>
    <cellStyle name="Normal" xfId="0" builtinId="0"/>
    <cellStyle name="Normal 2 10" xfId="4" xr:uid="{00000000-0005-0000-0000-000005000000}"/>
    <cellStyle name="Normal 2 10 2" xfId="6" xr:uid="{00000000-0005-0000-0000-000006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
  <sheetViews>
    <sheetView topLeftCell="A6" zoomScaleNormal="100" zoomScaleSheetLayoutView="100" workbookViewId="0">
      <selection activeCell="D31" sqref="D31"/>
    </sheetView>
  </sheetViews>
  <sheetFormatPr defaultColWidth="9.140625" defaultRowHeight="12.75" x14ac:dyDescent="0.2"/>
  <cols>
    <col min="1" max="1" width="65" style="1" bestFit="1" customWidth="1"/>
    <col min="2" max="2" width="25" style="1" customWidth="1"/>
    <col min="3" max="3" width="13.5703125" style="1" customWidth="1"/>
    <col min="4" max="4" width="48.7109375" style="1" customWidth="1"/>
    <col min="5" max="5" width="15.85546875" style="1" customWidth="1"/>
    <col min="6" max="6" width="9.140625" style="1"/>
    <col min="7" max="7" width="17.140625" style="1" customWidth="1"/>
    <col min="8" max="9" width="9.140625" style="1"/>
    <col min="10" max="10" width="15.7109375" style="1" customWidth="1"/>
    <col min="11" max="11" width="23.7109375" style="1" customWidth="1"/>
    <col min="12" max="13" width="13.5703125" style="1" bestFit="1" customWidth="1"/>
    <col min="14" max="16384" width="9.140625" style="1"/>
  </cols>
  <sheetData>
    <row r="1" spans="1:13" s="47" customFormat="1" ht="18.75" x14ac:dyDescent="0.2">
      <c r="A1" s="220" t="s">
        <v>0</v>
      </c>
      <c r="B1" s="220"/>
    </row>
    <row r="2" spans="1:13" s="47" customFormat="1" ht="45" customHeight="1" x14ac:dyDescent="0.2">
      <c r="A2" s="221" t="s">
        <v>1</v>
      </c>
      <c r="B2" s="222"/>
    </row>
    <row r="3" spans="1:13" s="47" customFormat="1" ht="6" customHeight="1" x14ac:dyDescent="0.2">
      <c r="A3" s="223"/>
      <c r="B3" s="224"/>
    </row>
    <row r="4" spans="1:13" s="47" customFormat="1" ht="25.5" customHeight="1" x14ac:dyDescent="0.2">
      <c r="A4" s="218" t="s">
        <v>2</v>
      </c>
      <c r="B4" s="219"/>
      <c r="C4" s="34"/>
      <c r="D4" s="34"/>
      <c r="E4" s="34"/>
      <c r="F4" s="34"/>
      <c r="G4" s="34"/>
    </row>
    <row r="5" spans="1:13" x14ac:dyDescent="0.2">
      <c r="A5" s="62" t="s">
        <v>3</v>
      </c>
      <c r="B5" s="62" t="s">
        <v>4</v>
      </c>
      <c r="C5" s="34"/>
      <c r="D5" s="34"/>
      <c r="E5" s="34"/>
      <c r="F5" s="34"/>
      <c r="G5" s="34"/>
    </row>
    <row r="6" spans="1:13" ht="41.45" customHeight="1" x14ac:dyDescent="0.2">
      <c r="A6" s="6" t="s">
        <v>5</v>
      </c>
      <c r="B6" s="63">
        <f>+'Table B.8 - WC System'!B15</f>
        <v>1698545.77</v>
      </c>
      <c r="C6" s="34"/>
      <c r="D6" s="34"/>
      <c r="E6" s="34"/>
      <c r="F6" s="34"/>
      <c r="G6" s="34"/>
    </row>
    <row r="7" spans="1:13" x14ac:dyDescent="0.2">
      <c r="A7" s="6" t="s">
        <v>6</v>
      </c>
      <c r="B7" s="63">
        <f>+'Table B.8 - WC System'!B22</f>
        <v>139860</v>
      </c>
      <c r="C7" s="34"/>
      <c r="D7" s="34"/>
      <c r="E7" s="34"/>
      <c r="F7" s="34"/>
      <c r="G7" s="34"/>
      <c r="K7" s="4"/>
      <c r="L7" s="4"/>
    </row>
    <row r="8" spans="1:13" x14ac:dyDescent="0.2">
      <c r="A8" s="6" t="s">
        <v>7</v>
      </c>
      <c r="B8" s="63">
        <f>+'Table B.8 - WC System'!B31</f>
        <v>3671232.87</v>
      </c>
      <c r="C8" s="34"/>
      <c r="D8" s="34"/>
      <c r="E8" s="34"/>
      <c r="F8" s="34"/>
      <c r="G8" s="34"/>
      <c r="L8" s="4"/>
    </row>
    <row r="9" spans="1:13" x14ac:dyDescent="0.2">
      <c r="A9" s="6" t="s">
        <v>8</v>
      </c>
      <c r="B9" s="63">
        <f>+'Table B.8 - WC System'!B51</f>
        <v>341811.20000000001</v>
      </c>
      <c r="C9" s="34"/>
      <c r="D9" s="34"/>
      <c r="E9" s="34"/>
      <c r="F9" s="34"/>
      <c r="G9" s="34"/>
      <c r="J9" s="207"/>
      <c r="K9" s="208"/>
      <c r="L9" s="4"/>
    </row>
    <row r="10" spans="1:13" x14ac:dyDescent="0.2">
      <c r="A10" s="6" t="s">
        <v>9</v>
      </c>
      <c r="B10" s="63">
        <f>+'Table B.8 - WC System'!B60</f>
        <v>671875.45</v>
      </c>
      <c r="C10" s="34"/>
      <c r="D10" s="34"/>
      <c r="E10" s="34"/>
      <c r="F10" s="34"/>
      <c r="G10" s="34"/>
      <c r="J10" s="207"/>
      <c r="K10" s="208"/>
      <c r="L10" s="4"/>
    </row>
    <row r="11" spans="1:13" x14ac:dyDescent="0.2">
      <c r="A11" s="6" t="s">
        <v>10</v>
      </c>
      <c r="B11" s="63">
        <f>+'Table B.9 - WC Spares'!G53</f>
        <v>701290.47380000004</v>
      </c>
      <c r="C11" s="34"/>
      <c r="D11" s="34"/>
      <c r="E11" s="34"/>
      <c r="F11" s="34"/>
      <c r="G11" s="34"/>
      <c r="J11" s="207"/>
      <c r="K11" s="208"/>
      <c r="L11" s="4"/>
      <c r="M11" s="4"/>
    </row>
    <row r="12" spans="1:13" x14ac:dyDescent="0.2">
      <c r="A12" s="64" t="s">
        <v>11</v>
      </c>
      <c r="B12" s="65">
        <f>SUM(B6:B11)</f>
        <v>7224615.7638000008</v>
      </c>
      <c r="C12" s="34"/>
      <c r="D12" s="34"/>
      <c r="E12" s="34"/>
      <c r="F12" s="34"/>
      <c r="G12" s="34"/>
      <c r="J12" s="207"/>
      <c r="L12" s="4"/>
    </row>
    <row r="13" spans="1:13" x14ac:dyDescent="0.2">
      <c r="A13" s="87" t="s">
        <v>12</v>
      </c>
      <c r="B13" s="62"/>
      <c r="C13" s="34"/>
      <c r="D13" s="34"/>
      <c r="E13" s="34"/>
      <c r="F13" s="34"/>
      <c r="G13" s="34"/>
      <c r="J13" s="207"/>
      <c r="K13" s="208"/>
      <c r="L13" s="4"/>
    </row>
    <row r="14" spans="1:13" x14ac:dyDescent="0.2">
      <c r="A14" s="6" t="s">
        <v>13</v>
      </c>
      <c r="B14" s="63">
        <f>+'Table B.10 - WC Services'!B9</f>
        <v>612310.05000000005</v>
      </c>
      <c r="C14" s="34"/>
      <c r="D14" s="34"/>
      <c r="E14" s="34"/>
      <c r="F14" s="34"/>
      <c r="G14" s="34"/>
      <c r="J14" s="207"/>
      <c r="K14" s="208"/>
      <c r="M14" s="4">
        <f>L15/15</f>
        <v>0</v>
      </c>
    </row>
    <row r="15" spans="1:13" x14ac:dyDescent="0.2">
      <c r="A15" s="6" t="s">
        <v>14</v>
      </c>
      <c r="B15" s="63">
        <f>+'Table B.10 - WC Services'!B17</f>
        <v>754293</v>
      </c>
      <c r="C15" s="34"/>
      <c r="D15" s="34"/>
      <c r="E15" s="34"/>
      <c r="F15" s="34"/>
      <c r="G15" s="34"/>
      <c r="J15" s="207"/>
      <c r="K15" s="208"/>
      <c r="L15" s="4"/>
      <c r="M15" s="4"/>
    </row>
    <row r="16" spans="1:13" x14ac:dyDescent="0.2">
      <c r="A16" s="6" t="s">
        <v>15</v>
      </c>
      <c r="B16" s="63">
        <v>0</v>
      </c>
      <c r="C16" s="34"/>
      <c r="D16" s="34"/>
      <c r="E16" s="34"/>
      <c r="F16" s="34"/>
      <c r="G16" s="34"/>
      <c r="J16" s="207"/>
      <c r="K16" s="208"/>
      <c r="L16" s="4"/>
    </row>
    <row r="17" spans="1:12" x14ac:dyDescent="0.2">
      <c r="A17" s="6" t="s">
        <v>16</v>
      </c>
      <c r="B17" s="63">
        <f>+'Table B.10 - WC Services'!B29</f>
        <v>331647</v>
      </c>
      <c r="C17" s="34"/>
      <c r="D17" s="34"/>
      <c r="E17" s="34"/>
      <c r="F17" s="34"/>
      <c r="G17" s="34"/>
    </row>
    <row r="18" spans="1:12" x14ac:dyDescent="0.2">
      <c r="A18" s="6" t="s">
        <v>17</v>
      </c>
      <c r="B18" s="63">
        <f>+'Table B.10 - WC Services'!B49</f>
        <v>247599.19</v>
      </c>
      <c r="C18" s="34"/>
      <c r="D18" s="34"/>
      <c r="E18" s="34"/>
      <c r="F18" s="34"/>
      <c r="G18" s="34"/>
    </row>
    <row r="19" spans="1:12" x14ac:dyDescent="0.2">
      <c r="A19" s="31" t="s">
        <v>18</v>
      </c>
      <c r="B19" s="63" t="s">
        <v>19</v>
      </c>
      <c r="C19" s="34"/>
      <c r="D19" s="34"/>
      <c r="E19" s="34"/>
      <c r="F19" s="34"/>
      <c r="G19" s="34"/>
    </row>
    <row r="20" spans="1:12" x14ac:dyDescent="0.2">
      <c r="A20" s="6"/>
      <c r="B20" s="63"/>
      <c r="C20" s="34"/>
      <c r="D20" s="34"/>
      <c r="E20" s="34"/>
      <c r="F20" s="34"/>
      <c r="G20" s="34"/>
    </row>
    <row r="21" spans="1:12" x14ac:dyDescent="0.2">
      <c r="A21" s="66" t="s">
        <v>20</v>
      </c>
      <c r="B21" s="29">
        <f>SUM(B14:B20)</f>
        <v>1945849.24</v>
      </c>
      <c r="C21" s="34"/>
      <c r="D21" s="34"/>
      <c r="E21" s="34"/>
      <c r="F21" s="34"/>
      <c r="G21" s="34"/>
    </row>
    <row r="22" spans="1:12" s="49" customFormat="1" ht="15.75" x14ac:dyDescent="0.25">
      <c r="A22" s="110" t="s">
        <v>21</v>
      </c>
      <c r="B22" s="111">
        <f>SUM(B12,B21)</f>
        <v>9170465.003800001</v>
      </c>
      <c r="C22" s="34"/>
      <c r="D22" s="34"/>
      <c r="E22" s="34"/>
      <c r="F22" s="34"/>
      <c r="G22" s="34"/>
      <c r="J22" s="1"/>
      <c r="K22" s="1"/>
      <c r="L22" s="1"/>
    </row>
    <row r="23" spans="1:12" ht="15.75" x14ac:dyDescent="0.25">
      <c r="A23" s="197" t="s">
        <v>22</v>
      </c>
      <c r="B23" s="196">
        <f>-4592982.28</f>
        <v>-4592982.28</v>
      </c>
      <c r="C23" s="34"/>
      <c r="D23" s="34"/>
      <c r="E23" s="34"/>
      <c r="F23" s="34"/>
      <c r="G23" s="34"/>
      <c r="K23" s="49"/>
      <c r="L23" s="49"/>
    </row>
    <row r="24" spans="1:12" s="49" customFormat="1" ht="15.75" x14ac:dyDescent="0.25">
      <c r="A24" s="110" t="s">
        <v>23</v>
      </c>
      <c r="B24" s="111">
        <f>SUM(B22:B23)</f>
        <v>4577482.7238000007</v>
      </c>
      <c r="C24" s="34"/>
      <c r="D24" s="213"/>
      <c r="E24" s="34"/>
      <c r="F24" s="34"/>
      <c r="G24" s="34"/>
      <c r="J24" s="1"/>
      <c r="K24" s="1"/>
      <c r="L24" s="1"/>
    </row>
    <row r="25" spans="1:12" s="49" customFormat="1" ht="9.75" customHeight="1" x14ac:dyDescent="0.25">
      <c r="A25" s="1"/>
      <c r="B25" s="1"/>
      <c r="C25" s="34"/>
      <c r="D25" s="34"/>
      <c r="E25" s="34"/>
      <c r="F25" s="34"/>
      <c r="G25" s="34"/>
      <c r="J25" s="1"/>
    </row>
    <row r="26" spans="1:12" ht="30" customHeight="1" x14ac:dyDescent="0.25">
      <c r="A26" s="199" t="s">
        <v>24</v>
      </c>
      <c r="B26" s="200">
        <f>+'Table B.11 - Greenfield Sites-D'!B24-'Table B.11 - Greenfield Sites-D'!B12-'Table B.11 - Greenfield Sites-D'!B13</f>
        <v>2675477.6750000003</v>
      </c>
      <c r="C26" s="34"/>
      <c r="D26" s="34"/>
      <c r="E26" s="34"/>
      <c r="F26" s="34"/>
      <c r="G26" s="34"/>
      <c r="K26" s="49"/>
      <c r="L26" s="49"/>
    </row>
    <row r="27" spans="1:12" ht="10.5" customHeight="1" x14ac:dyDescent="0.2">
      <c r="C27" s="34"/>
      <c r="D27" s="34"/>
      <c r="E27" s="34"/>
      <c r="F27" s="34"/>
      <c r="G27" s="34"/>
    </row>
    <row r="28" spans="1:12" ht="15.75" x14ac:dyDescent="0.2">
      <c r="A28" s="110" t="s">
        <v>25</v>
      </c>
      <c r="B28" s="111">
        <f>+'Table B.8 - WC System'!B76+'Table B.14 - Dispatch'!F11+'Table B.14 - Dispatch'!F12+'Table B.11 - Greenfield Sites-D'!B13</f>
        <v>2236645.6999999997</v>
      </c>
      <c r="C28" s="34"/>
      <c r="D28" s="34"/>
      <c r="E28" s="34"/>
      <c r="F28" s="34"/>
      <c r="G28" s="34"/>
    </row>
    <row r="29" spans="1:12" ht="9.75" customHeight="1" x14ac:dyDescent="0.2">
      <c r="C29" s="34"/>
      <c r="D29" s="34"/>
      <c r="E29" s="34"/>
      <c r="F29" s="34"/>
      <c r="G29" s="34"/>
    </row>
    <row r="30" spans="1:12" ht="31.5" x14ac:dyDescent="0.2">
      <c r="A30" s="201" t="s">
        <v>26</v>
      </c>
      <c r="B30" s="202">
        <f>'Table B.14 - Dispatch'!F33-'Table B.14 - Dispatch'!F11-'Table B.14 - Dispatch'!F12</f>
        <v>583647.53099999996</v>
      </c>
      <c r="C30" s="34"/>
      <c r="D30" s="34"/>
      <c r="E30" s="34"/>
      <c r="F30" s="34"/>
      <c r="G30" s="34"/>
    </row>
    <row r="31" spans="1:12" x14ac:dyDescent="0.2">
      <c r="A31" s="182"/>
      <c r="B31" s="63"/>
      <c r="C31" s="34"/>
      <c r="D31" s="34"/>
      <c r="E31" s="34"/>
      <c r="F31" s="34"/>
      <c r="G31" s="34"/>
    </row>
    <row r="32" spans="1:12" ht="15.75" x14ac:dyDescent="0.2">
      <c r="A32" s="110" t="s">
        <v>27</v>
      </c>
      <c r="B32" s="111">
        <f>+'Table B.15 - User Radios'!F95</f>
        <v>10960587.350000003</v>
      </c>
      <c r="C32" s="34"/>
      <c r="D32" s="34"/>
      <c r="E32" s="34"/>
      <c r="F32" s="34"/>
      <c r="G32" s="34"/>
    </row>
    <row r="33" spans="1:7" x14ac:dyDescent="0.2">
      <c r="A33" s="197"/>
      <c r="B33" s="196"/>
      <c r="C33" s="34"/>
      <c r="D33" s="34"/>
      <c r="E33" s="34"/>
      <c r="F33" s="34"/>
      <c r="G33" s="34"/>
    </row>
    <row r="34" spans="1:7" ht="15.75" x14ac:dyDescent="0.2">
      <c r="A34" s="110" t="s">
        <v>28</v>
      </c>
      <c r="B34" s="111">
        <f>+'Table B.13 - Post-Support'!B6+'Table B.13 - Post-Support'!B7+'Table B.13 - Post-Support'!B19+'Table B.13 - Post-Support'!B20+'Table B.13 - Post-Support'!B32+'Table B.13 - Post-Support'!B33+'Table B.13 - Post-Support'!B34</f>
        <v>707092</v>
      </c>
      <c r="C34" s="34"/>
      <c r="D34" s="34"/>
      <c r="E34" s="34"/>
      <c r="F34" s="34"/>
      <c r="G34" s="34"/>
    </row>
    <row r="35" spans="1:7" x14ac:dyDescent="0.2">
      <c r="A35" s="182"/>
      <c r="B35" s="181"/>
      <c r="C35" s="34"/>
      <c r="D35" s="213"/>
      <c r="E35" s="34"/>
      <c r="F35" s="34"/>
      <c r="G35" s="34"/>
    </row>
    <row r="36" spans="1:7" ht="15.75" x14ac:dyDescent="0.2">
      <c r="A36" s="110" t="s">
        <v>29</v>
      </c>
      <c r="B36" s="111">
        <f>SUM(B24:B34)</f>
        <v>21740932.979800001</v>
      </c>
      <c r="C36" s="34"/>
      <c r="D36" s="34"/>
      <c r="E36" s="34"/>
      <c r="F36" s="34"/>
      <c r="G36" s="34"/>
    </row>
    <row r="37" spans="1:7" ht="7.5" customHeight="1" x14ac:dyDescent="0.2">
      <c r="C37" s="34"/>
      <c r="D37" s="34"/>
      <c r="E37" s="34"/>
      <c r="F37" s="34"/>
      <c r="G37" s="34"/>
    </row>
    <row r="38" spans="1:7" x14ac:dyDescent="0.2">
      <c r="A38" s="6" t="s">
        <v>30</v>
      </c>
      <c r="B38" s="63">
        <f>+'Table B.8 - WC System'!B71+'Table B.11 - Greenfield Sites-D'!B12</f>
        <v>4474529.6969696973</v>
      </c>
      <c r="C38" s="34"/>
      <c r="D38" s="34"/>
      <c r="E38" s="34"/>
      <c r="F38" s="34"/>
      <c r="G38" s="34"/>
    </row>
    <row r="39" spans="1:7" x14ac:dyDescent="0.2">
      <c r="A39" s="6" t="s">
        <v>31</v>
      </c>
      <c r="B39" s="63">
        <f>+'Table B.10 - WC Services'!B21</f>
        <v>322048</v>
      </c>
      <c r="C39" s="34"/>
      <c r="D39" s="213"/>
      <c r="E39" s="34"/>
      <c r="F39" s="34"/>
      <c r="G39" s="34"/>
    </row>
    <row r="40" spans="1:7" ht="15.75" x14ac:dyDescent="0.2">
      <c r="A40" s="110" t="s">
        <v>32</v>
      </c>
      <c r="B40" s="111">
        <f>SUM(B38:B39)</f>
        <v>4796577.6969696973</v>
      </c>
      <c r="C40" s="34"/>
      <c r="D40" s="34"/>
      <c r="E40" s="34"/>
      <c r="F40" s="34"/>
      <c r="G40" s="34"/>
    </row>
    <row r="41" spans="1:7" x14ac:dyDescent="0.2">
      <c r="C41" s="34"/>
      <c r="D41" s="213"/>
      <c r="E41" s="34"/>
      <c r="F41" s="34"/>
      <c r="G41" s="34"/>
    </row>
    <row r="42" spans="1:7" ht="15.75" x14ac:dyDescent="0.2">
      <c r="A42" s="110" t="s">
        <v>33</v>
      </c>
      <c r="B42" s="111">
        <f>+B36+B40</f>
        <v>26537510.676769696</v>
      </c>
      <c r="C42" s="34"/>
      <c r="D42" s="213"/>
      <c r="E42" s="34"/>
      <c r="F42" s="34"/>
      <c r="G42" s="34"/>
    </row>
    <row r="43" spans="1:7" x14ac:dyDescent="0.2">
      <c r="C43" s="34"/>
      <c r="D43" s="34"/>
      <c r="E43" s="34"/>
      <c r="F43" s="34"/>
      <c r="G43" s="34"/>
    </row>
    <row r="44" spans="1:7" x14ac:dyDescent="0.2">
      <c r="A44" s="1" t="s">
        <v>34</v>
      </c>
      <c r="C44" s="34"/>
      <c r="D44" s="34"/>
      <c r="E44" s="34"/>
      <c r="F44" s="34"/>
      <c r="G44" s="34"/>
    </row>
    <row r="45" spans="1:7" x14ac:dyDescent="0.2">
      <c r="C45" s="34"/>
      <c r="D45" s="34"/>
      <c r="E45" s="34"/>
      <c r="F45" s="34"/>
      <c r="G45" s="34"/>
    </row>
    <row r="46" spans="1:7" x14ac:dyDescent="0.2">
      <c r="B46" s="4"/>
    </row>
    <row r="47" spans="1:7" x14ac:dyDescent="0.2">
      <c r="B47" s="4"/>
    </row>
    <row r="48" spans="1:7" x14ac:dyDescent="0.2">
      <c r="B48" s="4"/>
    </row>
    <row r="49" spans="2:2" x14ac:dyDescent="0.2">
      <c r="B49" s="4"/>
    </row>
    <row r="50" spans="2:2" x14ac:dyDescent="0.2">
      <c r="B50" s="4"/>
    </row>
  </sheetData>
  <customSheetViews>
    <customSheetView guid="{2CCC7B39-935D-435C-BB32-70CB41003C82}" showPageBreaks="1">
      <selection activeCell="C28" sqref="C28"/>
      <pageMargins left="0" right="0" top="0" bottom="0" header="0" footer="0"/>
      <printOptions horizontalCentered="1"/>
      <pageSetup scale="99" fitToHeight="8" orientation="portrait" r:id="rId1"/>
      <headerFooter>
        <oddHeader>&amp;L&amp;"-,Bold"Project 25 Radio System&amp;C&amp;"-,Bold"RFP # XXXX&amp;R&amp;"-,Bold"Attachment B - Proposal Pricing Forms</oddHeader>
      </headerFooter>
    </customSheetView>
    <customSheetView guid="{9C902D8C-99B9-4A37-8078-0EB8BCE2A547}">
      <selection activeCell="C28" sqref="C28"/>
      <pageMargins left="0" right="0" top="0" bottom="0" header="0" footer="0"/>
      <printOptions horizontalCentered="1"/>
      <pageSetup scale="99" fitToHeight="8" orientation="portrait" r:id="rId2"/>
      <headerFooter>
        <oddHeader>&amp;L&amp;"-,Bold"Project 25 Radio System&amp;C&amp;"-,Bold"RFP # XXXX&amp;R&amp;"-,Bold"Attachment B - Proposal Pricing Forms</oddHeader>
      </headerFooter>
    </customSheetView>
    <customSheetView guid="{EFF273BD-F73A-4BFF-8940-4E7CE3C7328B}" topLeftCell="A46">
      <selection activeCell="A46" sqref="A46"/>
      <pageMargins left="0" right="0" top="0" bottom="0" header="0" footer="0"/>
      <printOptions horizontalCentered="1"/>
      <pageSetup scale="99" fitToHeight="8" orientation="portrait" r:id="rId3"/>
      <headerFooter>
        <oddHeader>&amp;L&amp;"-,Bold"Project 25 Radio System&amp;C&amp;"-,Bold"RFP # XXXX&amp;R&amp;"-,Bold"Attachment B - Proposal Pricing Forms</oddHeader>
      </headerFooter>
    </customSheetView>
  </customSheetViews>
  <mergeCells count="4">
    <mergeCell ref="A4:B4"/>
    <mergeCell ref="A1:B1"/>
    <mergeCell ref="A2:B2"/>
    <mergeCell ref="A3:B3"/>
  </mergeCells>
  <printOptions horizontalCentered="1"/>
  <pageMargins left="0.7" right="0.7" top="0.75" bottom="0.75" header="0.3" footer="0.3"/>
  <pageSetup fitToHeight="8" orientation="portrait" r:id="rId4"/>
  <headerFooter>
    <oddHeader>&amp;L&amp;"-,Bold"Nevada Shared Radio System Replacement Project
Washoe County&amp;R&amp;"-,Bold"EX_6_WAS_SOW
Price Schedule_Rev10</oddHeader>
    <oddFooter>&amp;L&amp;"Arial,Regular"Confidential, Proprietary &amp;&amp;
Competition Sensitive&amp;C&amp;G&amp;R&amp;"Arial,Regular"September 17, 2018
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I95"/>
  <sheetViews>
    <sheetView tabSelected="1" zoomScaleNormal="100" zoomScaleSheetLayoutView="100" workbookViewId="0">
      <selection activeCell="L7" sqref="L7"/>
    </sheetView>
  </sheetViews>
  <sheetFormatPr defaultRowHeight="15" x14ac:dyDescent="0.25"/>
  <cols>
    <col min="1" max="1" width="45.7109375" customWidth="1"/>
    <col min="2" max="2" width="12.7109375" customWidth="1"/>
    <col min="3" max="3" width="7.7109375" customWidth="1"/>
    <col min="4" max="4" width="14.7109375" customWidth="1"/>
    <col min="6" max="6" width="16.7109375" customWidth="1"/>
    <col min="7" max="7" width="10.140625" bestFit="1" customWidth="1"/>
    <col min="9" max="9" width="16.7109375" customWidth="1"/>
  </cols>
  <sheetData>
    <row r="1" spans="1:9" ht="18.75" x14ac:dyDescent="0.25">
      <c r="A1" s="220" t="s">
        <v>416</v>
      </c>
      <c r="B1" s="220"/>
      <c r="C1" s="220"/>
      <c r="D1" s="220"/>
      <c r="E1" s="220"/>
      <c r="F1" s="220"/>
    </row>
    <row r="2" spans="1:9" ht="142.15" customHeight="1" x14ac:dyDescent="0.25">
      <c r="A2" s="290" t="s">
        <v>417</v>
      </c>
      <c r="B2" s="290"/>
      <c r="C2" s="290"/>
      <c r="D2" s="290"/>
      <c r="E2" s="290"/>
      <c r="F2" s="290"/>
    </row>
    <row r="3" spans="1:9" ht="36" customHeight="1" x14ac:dyDescent="0.3">
      <c r="A3" s="291" t="s">
        <v>453</v>
      </c>
      <c r="B3" s="291"/>
      <c r="C3" s="291"/>
      <c r="D3" s="291"/>
      <c r="E3" s="291"/>
      <c r="F3" s="291"/>
    </row>
    <row r="4" spans="1:9" ht="30" x14ac:dyDescent="0.25">
      <c r="A4" s="72" t="s">
        <v>158</v>
      </c>
      <c r="B4" s="72" t="s">
        <v>94</v>
      </c>
      <c r="C4" s="73" t="s">
        <v>95</v>
      </c>
      <c r="D4" s="72" t="s">
        <v>96</v>
      </c>
      <c r="E4" s="74" t="s">
        <v>97</v>
      </c>
      <c r="F4" s="72" t="s">
        <v>4</v>
      </c>
    </row>
    <row r="5" spans="1:9" ht="45" x14ac:dyDescent="0.25">
      <c r="A5" s="183" t="s">
        <v>454</v>
      </c>
      <c r="B5" s="194">
        <v>4040</v>
      </c>
      <c r="C5" s="195">
        <v>39</v>
      </c>
      <c r="D5" s="169">
        <f t="shared" ref="D5:D20" si="0">SUM(B5*C5)</f>
        <v>157560</v>
      </c>
      <c r="E5" s="206">
        <v>0.72199999999999998</v>
      </c>
      <c r="F5" s="169">
        <f t="shared" ref="F5:F29" si="1">D5-D5*E5</f>
        <v>43801.680000000008</v>
      </c>
      <c r="I5" s="211"/>
    </row>
    <row r="6" spans="1:9" ht="45" x14ac:dyDescent="0.25">
      <c r="A6" s="183" t="s">
        <v>455</v>
      </c>
      <c r="B6" s="194">
        <v>3820</v>
      </c>
      <c r="C6" s="195">
        <v>0</v>
      </c>
      <c r="D6" s="169">
        <f t="shared" ref="D6" si="2">SUM(B6*C6)</f>
        <v>0</v>
      </c>
      <c r="E6" s="206">
        <v>0.72199999999999998</v>
      </c>
      <c r="F6" s="169">
        <f t="shared" ref="F6" si="3">D6-D6*E6</f>
        <v>0</v>
      </c>
      <c r="I6" s="211"/>
    </row>
    <row r="7" spans="1:9" ht="45" x14ac:dyDescent="0.25">
      <c r="A7" s="183" t="s">
        <v>456</v>
      </c>
      <c r="B7" s="194">
        <v>3820</v>
      </c>
      <c r="C7" s="195">
        <v>0</v>
      </c>
      <c r="D7" s="169">
        <f t="shared" ref="D7" si="4">SUM(B7*C7)</f>
        <v>0</v>
      </c>
      <c r="E7" s="206">
        <v>0.72199999999999998</v>
      </c>
      <c r="F7" s="169">
        <f t="shared" ref="F7" si="5">D7-D7*E7</f>
        <v>0</v>
      </c>
      <c r="I7" s="211"/>
    </row>
    <row r="8" spans="1:9" ht="45" x14ac:dyDescent="0.25">
      <c r="A8" s="183" t="s">
        <v>457</v>
      </c>
      <c r="B8" s="194">
        <v>3820</v>
      </c>
      <c r="C8" s="195">
        <v>0</v>
      </c>
      <c r="D8" s="169">
        <f t="shared" ref="D8" si="6">SUM(B8*C8)</f>
        <v>0</v>
      </c>
      <c r="E8" s="206">
        <v>0.72199999999999998</v>
      </c>
      <c r="F8" s="169">
        <f t="shared" ref="F8" si="7">D8-D8*E8</f>
        <v>0</v>
      </c>
      <c r="I8" s="211"/>
    </row>
    <row r="9" spans="1:9" ht="45" x14ac:dyDescent="0.25">
      <c r="A9" s="183" t="s">
        <v>458</v>
      </c>
      <c r="B9" s="194">
        <v>3820</v>
      </c>
      <c r="C9" s="195">
        <v>0</v>
      </c>
      <c r="D9" s="169">
        <f t="shared" ref="D9" si="8">SUM(B9*C9)</f>
        <v>0</v>
      </c>
      <c r="E9" s="206">
        <v>0.72199999999999998</v>
      </c>
      <c r="F9" s="169">
        <f t="shared" ref="F9" si="9">D9-D9*E9</f>
        <v>0</v>
      </c>
      <c r="I9" s="211"/>
    </row>
    <row r="10" spans="1:9" ht="45" x14ac:dyDescent="0.25">
      <c r="A10" s="183" t="s">
        <v>459</v>
      </c>
      <c r="B10" s="194">
        <v>3820</v>
      </c>
      <c r="C10" s="195">
        <v>0</v>
      </c>
      <c r="D10" s="169">
        <f t="shared" ref="D10" si="10">SUM(B10*C10)</f>
        <v>0</v>
      </c>
      <c r="E10" s="206">
        <v>0.72199999999999998</v>
      </c>
      <c r="F10" s="169">
        <f t="shared" ref="F10" si="11">D10-D10*E10</f>
        <v>0</v>
      </c>
      <c r="I10" s="211"/>
    </row>
    <row r="11" spans="1:9" ht="60" customHeight="1" x14ac:dyDescent="0.25">
      <c r="A11" s="183" t="s">
        <v>460</v>
      </c>
      <c r="B11" s="194">
        <v>7140</v>
      </c>
      <c r="C11" s="195">
        <v>0</v>
      </c>
      <c r="D11" s="169">
        <f t="shared" si="0"/>
        <v>0</v>
      </c>
      <c r="E11" s="206">
        <v>0.72199999999999998</v>
      </c>
      <c r="F11" s="169">
        <f t="shared" si="1"/>
        <v>0</v>
      </c>
      <c r="I11" s="211"/>
    </row>
    <row r="12" spans="1:9" ht="45" customHeight="1" x14ac:dyDescent="0.25">
      <c r="A12" s="183" t="s">
        <v>461</v>
      </c>
      <c r="B12" s="194">
        <v>4975</v>
      </c>
      <c r="C12" s="195">
        <v>0</v>
      </c>
      <c r="D12" s="169">
        <f t="shared" ref="D12" si="12">SUM(B12*C12)</f>
        <v>0</v>
      </c>
      <c r="E12" s="206">
        <v>0.72199999999999998</v>
      </c>
      <c r="F12" s="169">
        <f t="shared" ref="F12:F13" si="13">D12-D12*E12</f>
        <v>0</v>
      </c>
      <c r="I12" s="211"/>
    </row>
    <row r="13" spans="1:9" ht="60" customHeight="1" x14ac:dyDescent="0.25">
      <c r="A13" s="183" t="s">
        <v>462</v>
      </c>
      <c r="B13" s="194">
        <v>7140</v>
      </c>
      <c r="C13" s="195">
        <v>1112</v>
      </c>
      <c r="D13" s="169">
        <f t="shared" ref="D13" si="14">SUM(B13*C13)</f>
        <v>7939680</v>
      </c>
      <c r="E13" s="206">
        <v>0.72199999999999998</v>
      </c>
      <c r="F13" s="169">
        <f t="shared" si="13"/>
        <v>2207231.04</v>
      </c>
      <c r="I13" s="211"/>
    </row>
    <row r="14" spans="1:9" ht="45" customHeight="1" x14ac:dyDescent="0.25">
      <c r="A14" s="183" t="s">
        <v>463</v>
      </c>
      <c r="B14" s="194">
        <v>4975</v>
      </c>
      <c r="C14" s="195">
        <v>0</v>
      </c>
      <c r="D14" s="169">
        <f t="shared" ref="D14" si="15">SUM(B14*C14)</f>
        <v>0</v>
      </c>
      <c r="E14" s="206">
        <v>0.72199999999999998</v>
      </c>
      <c r="F14" s="169">
        <f t="shared" ref="F14:F15" si="16">D14-D14*E14</f>
        <v>0</v>
      </c>
      <c r="I14" s="211"/>
    </row>
    <row r="15" spans="1:9" ht="60" customHeight="1" x14ac:dyDescent="0.25">
      <c r="A15" s="183" t="s">
        <v>464</v>
      </c>
      <c r="B15" s="194">
        <v>7140</v>
      </c>
      <c r="C15" s="195">
        <v>0</v>
      </c>
      <c r="D15" s="169">
        <f t="shared" ref="D15" si="17">SUM(B15*C15)</f>
        <v>0</v>
      </c>
      <c r="E15" s="206">
        <v>0.72199999999999998</v>
      </c>
      <c r="F15" s="169">
        <f t="shared" si="16"/>
        <v>0</v>
      </c>
      <c r="I15" s="211"/>
    </row>
    <row r="16" spans="1:9" ht="45" customHeight="1" x14ac:dyDescent="0.25">
      <c r="A16" s="183" t="s">
        <v>465</v>
      </c>
      <c r="B16" s="194">
        <v>4975</v>
      </c>
      <c r="C16" s="195">
        <v>44</v>
      </c>
      <c r="D16" s="169">
        <f t="shared" ref="D16" si="18">SUM(B16*C16)</f>
        <v>218900</v>
      </c>
      <c r="E16" s="206">
        <v>0.72199999999999998</v>
      </c>
      <c r="F16" s="169">
        <f t="shared" ref="F16:F18" si="19">D16-D16*E16</f>
        <v>60854.200000000012</v>
      </c>
      <c r="I16" s="211"/>
    </row>
    <row r="17" spans="1:9" ht="60" customHeight="1" x14ac:dyDescent="0.25">
      <c r="A17" s="183" t="s">
        <v>466</v>
      </c>
      <c r="B17" s="194">
        <v>7140</v>
      </c>
      <c r="C17" s="195">
        <v>0</v>
      </c>
      <c r="D17" s="169">
        <f t="shared" ref="D17" si="20">SUM(B17*C17)</f>
        <v>0</v>
      </c>
      <c r="E17" s="206">
        <v>0.72199999999999998</v>
      </c>
      <c r="F17" s="169">
        <f t="shared" si="19"/>
        <v>0</v>
      </c>
      <c r="I17" s="211"/>
    </row>
    <row r="18" spans="1:9" ht="45" customHeight="1" x14ac:dyDescent="0.25">
      <c r="A18" s="183" t="s">
        <v>467</v>
      </c>
      <c r="B18" s="194">
        <v>8795</v>
      </c>
      <c r="C18" s="195">
        <v>0</v>
      </c>
      <c r="D18" s="169">
        <f t="shared" ref="D18" si="21">SUM(B18*C18)</f>
        <v>0</v>
      </c>
      <c r="E18" s="206">
        <v>0.72199999999999998</v>
      </c>
      <c r="F18" s="169">
        <f t="shared" si="19"/>
        <v>0</v>
      </c>
      <c r="I18" s="211"/>
    </row>
    <row r="19" spans="1:9" ht="45" customHeight="1" x14ac:dyDescent="0.25">
      <c r="A19" s="183" t="s">
        <v>468</v>
      </c>
      <c r="B19" s="194">
        <v>9095</v>
      </c>
      <c r="C19" s="195">
        <v>582</v>
      </c>
      <c r="D19" s="169">
        <f t="shared" ref="D19" si="22">SUM(B19*C19)</f>
        <v>5293290</v>
      </c>
      <c r="E19" s="206">
        <v>0.72199999999999998</v>
      </c>
      <c r="F19" s="169">
        <f t="shared" ref="F19" si="23">D19-D19*E19</f>
        <v>1471534.62</v>
      </c>
      <c r="I19" s="211"/>
    </row>
    <row r="20" spans="1:9" ht="60" x14ac:dyDescent="0.25">
      <c r="A20" s="183" t="s">
        <v>469</v>
      </c>
      <c r="B20" s="194">
        <v>6015</v>
      </c>
      <c r="C20" s="195">
        <v>1342</v>
      </c>
      <c r="D20" s="169">
        <f t="shared" si="0"/>
        <v>8072130</v>
      </c>
      <c r="E20" s="206">
        <v>0.72199999999999998</v>
      </c>
      <c r="F20" s="169">
        <f t="shared" si="1"/>
        <v>2244052.1400000006</v>
      </c>
      <c r="I20" s="211"/>
    </row>
    <row r="21" spans="1:9" ht="60" customHeight="1" x14ac:dyDescent="0.25">
      <c r="A21" s="183" t="s">
        <v>470</v>
      </c>
      <c r="B21" s="194">
        <v>6125</v>
      </c>
      <c r="C21" s="195">
        <v>1480</v>
      </c>
      <c r="D21" s="169">
        <f t="shared" ref="D21:D23" si="24">SUM(B21*C21)</f>
        <v>9065000</v>
      </c>
      <c r="E21" s="206">
        <v>0.72199999999999998</v>
      </c>
      <c r="F21" s="169">
        <f t="shared" ref="F21:F23" si="25">D21-D21*E21</f>
        <v>2520070</v>
      </c>
      <c r="G21" s="212">
        <f>B21-(B21*E21)</f>
        <v>1702.75</v>
      </c>
      <c r="I21" s="211"/>
    </row>
    <row r="22" spans="1:9" ht="60" x14ac:dyDescent="0.25">
      <c r="A22" s="183" t="s">
        <v>471</v>
      </c>
      <c r="B22" s="194">
        <v>6775</v>
      </c>
      <c r="C22" s="195">
        <v>35</v>
      </c>
      <c r="D22" s="169">
        <f t="shared" si="24"/>
        <v>237125</v>
      </c>
      <c r="E22" s="206">
        <v>0.72199999999999998</v>
      </c>
      <c r="F22" s="169">
        <f t="shared" si="25"/>
        <v>65920.75</v>
      </c>
      <c r="G22" s="212">
        <f>B22-(B22*E22)</f>
        <v>1883.4499999999998</v>
      </c>
      <c r="I22" s="211"/>
    </row>
    <row r="23" spans="1:9" ht="45" x14ac:dyDescent="0.25">
      <c r="A23" s="183" t="s">
        <v>472</v>
      </c>
      <c r="B23" s="194">
        <v>3345</v>
      </c>
      <c r="C23" s="195">
        <v>80</v>
      </c>
      <c r="D23" s="169">
        <f t="shared" si="24"/>
        <v>267600</v>
      </c>
      <c r="E23" s="206">
        <v>0.72199999999999998</v>
      </c>
      <c r="F23" s="169">
        <f t="shared" si="25"/>
        <v>74392.800000000017</v>
      </c>
      <c r="I23" s="211"/>
    </row>
    <row r="24" spans="1:9" ht="45" x14ac:dyDescent="0.25">
      <c r="A24" s="183" t="s">
        <v>473</v>
      </c>
      <c r="B24" s="194">
        <f>3345+465</f>
        <v>3810</v>
      </c>
      <c r="C24" s="195">
        <v>3</v>
      </c>
      <c r="D24" s="169">
        <f t="shared" ref="D24:D25" si="26">SUM(B24*C24)</f>
        <v>11430</v>
      </c>
      <c r="E24" s="206">
        <v>0.72199999999999998</v>
      </c>
      <c r="F24" s="169">
        <f t="shared" ref="F24:F25" si="27">D24-D24*E24</f>
        <v>3177.5400000000009</v>
      </c>
      <c r="I24" s="211"/>
    </row>
    <row r="25" spans="1:9" ht="45" customHeight="1" x14ac:dyDescent="0.25">
      <c r="A25" s="183" t="s">
        <v>474</v>
      </c>
      <c r="B25" s="194">
        <f>3345+465+495</f>
        <v>4305</v>
      </c>
      <c r="C25" s="195">
        <v>9</v>
      </c>
      <c r="D25" s="169">
        <f t="shared" si="26"/>
        <v>38745</v>
      </c>
      <c r="E25" s="206">
        <v>0.72199999999999998</v>
      </c>
      <c r="F25" s="169">
        <f t="shared" si="27"/>
        <v>10771.11</v>
      </c>
      <c r="I25" s="211"/>
    </row>
    <row r="26" spans="1:9" ht="45" x14ac:dyDescent="0.25">
      <c r="A26" s="183" t="s">
        <v>475</v>
      </c>
      <c r="B26" s="194">
        <v>2135</v>
      </c>
      <c r="C26" s="195">
        <v>257</v>
      </c>
      <c r="D26" s="169">
        <f t="shared" ref="D26:D28" si="28">SUM(B26*C26)</f>
        <v>548695</v>
      </c>
      <c r="E26" s="206">
        <v>0.72199999999999998</v>
      </c>
      <c r="F26" s="169">
        <f t="shared" ref="F26:F28" si="29">D26-D26*E26</f>
        <v>152537.21000000002</v>
      </c>
      <c r="I26" s="211"/>
    </row>
    <row r="27" spans="1:9" x14ac:dyDescent="0.25">
      <c r="A27" s="183" t="s">
        <v>476</v>
      </c>
      <c r="B27" s="194">
        <v>120</v>
      </c>
      <c r="C27" s="195">
        <v>1428</v>
      </c>
      <c r="D27" s="169">
        <f t="shared" si="28"/>
        <v>171360</v>
      </c>
      <c r="E27" s="206">
        <v>0.72199999999999998</v>
      </c>
      <c r="F27" s="169">
        <f t="shared" si="29"/>
        <v>47638.080000000002</v>
      </c>
      <c r="I27" s="211"/>
    </row>
    <row r="28" spans="1:9" x14ac:dyDescent="0.25">
      <c r="A28" s="183" t="s">
        <v>477</v>
      </c>
      <c r="B28" s="194">
        <v>150</v>
      </c>
      <c r="C28" s="195">
        <v>1509</v>
      </c>
      <c r="D28" s="169">
        <f t="shared" si="28"/>
        <v>226350</v>
      </c>
      <c r="E28" s="206">
        <v>0.72199999999999998</v>
      </c>
      <c r="F28" s="169">
        <f t="shared" si="29"/>
        <v>62925.300000000017</v>
      </c>
      <c r="I28" s="211"/>
    </row>
    <row r="29" spans="1:9" ht="60" x14ac:dyDescent="0.25">
      <c r="A29" s="183" t="s">
        <v>478</v>
      </c>
      <c r="B29" s="194">
        <f>9675-495</f>
        <v>9180</v>
      </c>
      <c r="C29" s="195">
        <v>94</v>
      </c>
      <c r="D29" s="169">
        <f t="shared" ref="D29:D40" si="30">SUM(B29*C29)</f>
        <v>862920</v>
      </c>
      <c r="E29" s="206">
        <v>0.72199999999999998</v>
      </c>
      <c r="F29" s="169">
        <f t="shared" si="1"/>
        <v>239891.76</v>
      </c>
      <c r="I29" s="211"/>
    </row>
    <row r="30" spans="1:9" ht="60" x14ac:dyDescent="0.25">
      <c r="A30" s="183" t="s">
        <v>479</v>
      </c>
      <c r="B30" s="194">
        <v>9675</v>
      </c>
      <c r="C30" s="195">
        <v>20</v>
      </c>
      <c r="D30" s="169">
        <f t="shared" ref="D30" si="31">SUM(B30*C30)</f>
        <v>193500</v>
      </c>
      <c r="E30" s="206">
        <v>0.72199999999999998</v>
      </c>
      <c r="F30" s="169">
        <f t="shared" ref="F30" si="32">D30-D30*E30</f>
        <v>53793</v>
      </c>
      <c r="I30" s="211"/>
    </row>
    <row r="31" spans="1:9" x14ac:dyDescent="0.25">
      <c r="A31" s="183" t="s">
        <v>480</v>
      </c>
      <c r="B31" s="194">
        <v>1025</v>
      </c>
      <c r="C31" s="195">
        <v>1</v>
      </c>
      <c r="D31" s="169">
        <f t="shared" ref="D31:D39" si="33">SUM(B31*C31)</f>
        <v>1025</v>
      </c>
      <c r="E31" s="171">
        <f>1-(F31/D31)</f>
        <v>0.7653658536585366</v>
      </c>
      <c r="F31" s="169">
        <v>240.5</v>
      </c>
      <c r="I31" s="212"/>
    </row>
    <row r="32" spans="1:9" x14ac:dyDescent="0.25">
      <c r="A32" s="183" t="s">
        <v>481</v>
      </c>
      <c r="B32" s="194">
        <v>1598.25</v>
      </c>
      <c r="C32" s="195">
        <v>215</v>
      </c>
      <c r="D32" s="169">
        <f t="shared" si="33"/>
        <v>343623.75</v>
      </c>
      <c r="E32" s="171">
        <f t="shared" ref="E32:E40" si="34">1-(F32/D32)</f>
        <v>0.48764571715430027</v>
      </c>
      <c r="F32" s="169">
        <v>176057.1</v>
      </c>
      <c r="I32" s="212"/>
    </row>
    <row r="33" spans="1:9" x14ac:dyDescent="0.25">
      <c r="A33" s="183" t="s">
        <v>482</v>
      </c>
      <c r="B33" s="194">
        <v>1352.5</v>
      </c>
      <c r="C33" s="195">
        <v>6</v>
      </c>
      <c r="D33" s="169">
        <f t="shared" si="33"/>
        <v>8115</v>
      </c>
      <c r="E33" s="171">
        <f t="shared" si="34"/>
        <v>0.45149722735674669</v>
      </c>
      <c r="F33" s="169">
        <v>4451.1000000000004</v>
      </c>
      <c r="I33" s="212"/>
    </row>
    <row r="34" spans="1:9" x14ac:dyDescent="0.25">
      <c r="A34" s="183" t="s">
        <v>483</v>
      </c>
      <c r="B34" s="194">
        <v>1464.5</v>
      </c>
      <c r="C34" s="195">
        <v>17</v>
      </c>
      <c r="D34" s="169">
        <f t="shared" si="33"/>
        <v>24896.5</v>
      </c>
      <c r="E34" s="171">
        <f t="shared" si="34"/>
        <v>0.55133050830438024</v>
      </c>
      <c r="F34" s="169">
        <v>11170.3</v>
      </c>
      <c r="I34" s="212"/>
    </row>
    <row r="35" spans="1:9" x14ac:dyDescent="0.25">
      <c r="A35" s="183" t="s">
        <v>484</v>
      </c>
      <c r="B35" s="194">
        <v>731.5</v>
      </c>
      <c r="C35" s="195">
        <v>13</v>
      </c>
      <c r="D35" s="169">
        <f t="shared" si="33"/>
        <v>9509.5</v>
      </c>
      <c r="E35" s="171">
        <f t="shared" si="34"/>
        <v>0.34945054945054954</v>
      </c>
      <c r="F35" s="169">
        <v>6186.4</v>
      </c>
      <c r="I35" s="212"/>
    </row>
    <row r="36" spans="1:9" x14ac:dyDescent="0.25">
      <c r="A36" s="183" t="s">
        <v>485</v>
      </c>
      <c r="B36" s="194">
        <v>825</v>
      </c>
      <c r="C36" s="195">
        <v>12</v>
      </c>
      <c r="D36" s="169">
        <f t="shared" si="33"/>
        <v>9900</v>
      </c>
      <c r="E36" s="171">
        <f t="shared" si="34"/>
        <v>0.57319191919191925</v>
      </c>
      <c r="F36" s="169">
        <v>4225.3999999999996</v>
      </c>
      <c r="I36" s="212"/>
    </row>
    <row r="37" spans="1:9" x14ac:dyDescent="0.25">
      <c r="A37" s="183" t="s">
        <v>486</v>
      </c>
      <c r="B37" s="194">
        <v>393.75</v>
      </c>
      <c r="C37" s="195">
        <v>48</v>
      </c>
      <c r="D37" s="169">
        <f t="shared" si="33"/>
        <v>18900</v>
      </c>
      <c r="E37" s="171">
        <f t="shared" si="34"/>
        <v>0.68285714285714283</v>
      </c>
      <c r="F37" s="169">
        <v>5994</v>
      </c>
      <c r="I37" s="212"/>
    </row>
    <row r="38" spans="1:9" x14ac:dyDescent="0.25">
      <c r="A38" s="183" t="s">
        <v>487</v>
      </c>
      <c r="B38" s="194">
        <v>937.4</v>
      </c>
      <c r="C38" s="195">
        <v>19</v>
      </c>
      <c r="D38" s="169">
        <f t="shared" si="33"/>
        <v>17810.599999999999</v>
      </c>
      <c r="E38" s="171">
        <f t="shared" si="34"/>
        <v>0.31819253702851102</v>
      </c>
      <c r="F38" s="169">
        <v>12143.4</v>
      </c>
      <c r="I38" s="212"/>
    </row>
    <row r="39" spans="1:9" x14ac:dyDescent="0.25">
      <c r="A39" s="183" t="s">
        <v>488</v>
      </c>
      <c r="B39" s="194">
        <v>957.75</v>
      </c>
      <c r="C39" s="195">
        <v>452</v>
      </c>
      <c r="D39" s="169">
        <f t="shared" si="33"/>
        <v>432903</v>
      </c>
      <c r="E39" s="171">
        <v>0.46</v>
      </c>
      <c r="F39" s="169">
        <f>+D39*0.54</f>
        <v>233767.62000000002</v>
      </c>
      <c r="I39" s="212"/>
    </row>
    <row r="40" spans="1:9" x14ac:dyDescent="0.25">
      <c r="A40" s="183" t="s">
        <v>489</v>
      </c>
      <c r="B40" s="194">
        <v>1466.5</v>
      </c>
      <c r="C40" s="195">
        <v>9</v>
      </c>
      <c r="D40" s="169">
        <f t="shared" si="30"/>
        <v>13198.5</v>
      </c>
      <c r="E40" s="171">
        <f t="shared" si="34"/>
        <v>0.59631776338220255</v>
      </c>
      <c r="F40" s="169">
        <v>5328</v>
      </c>
      <c r="I40" s="212"/>
    </row>
    <row r="41" spans="1:9" ht="15.75" x14ac:dyDescent="0.25">
      <c r="A41" s="292" t="s">
        <v>441</v>
      </c>
      <c r="B41" s="292"/>
      <c r="C41" s="292"/>
      <c r="D41" s="292"/>
      <c r="E41" s="292"/>
      <c r="F41" s="70">
        <f>SUM(F5:F40)</f>
        <v>9718155.0500000026</v>
      </c>
      <c r="I41" s="212"/>
    </row>
    <row r="42" spans="1:9" ht="14.45" customHeight="1" x14ac:dyDescent="0.25">
      <c r="A42" s="293" t="s">
        <v>490</v>
      </c>
      <c r="B42" s="294"/>
      <c r="C42" s="295"/>
      <c r="D42" s="180" t="s">
        <v>4</v>
      </c>
      <c r="E42" s="77"/>
      <c r="F42" s="169"/>
      <c r="I42" s="212"/>
    </row>
    <row r="43" spans="1:9" x14ac:dyDescent="0.25">
      <c r="A43" s="184" t="s">
        <v>491</v>
      </c>
      <c r="B43" s="57">
        <v>265</v>
      </c>
      <c r="C43" s="76"/>
      <c r="D43" s="57">
        <f>+B43*0.74</f>
        <v>196.1</v>
      </c>
      <c r="E43" s="171">
        <v>0.26</v>
      </c>
      <c r="F43" s="169"/>
      <c r="I43" s="212"/>
    </row>
    <row r="44" spans="1:9" x14ac:dyDescent="0.25">
      <c r="A44" s="184" t="s">
        <v>492</v>
      </c>
      <c r="B44" s="57">
        <v>595</v>
      </c>
      <c r="C44" s="76"/>
      <c r="D44" s="57">
        <f t="shared" ref="D44:D46" si="35">+B44*0.74</f>
        <v>440.3</v>
      </c>
      <c r="E44" s="171">
        <v>0.26</v>
      </c>
      <c r="F44" s="169"/>
      <c r="I44" s="212"/>
    </row>
    <row r="45" spans="1:9" x14ac:dyDescent="0.25">
      <c r="A45" s="184" t="s">
        <v>493</v>
      </c>
      <c r="B45" s="57">
        <v>695</v>
      </c>
      <c r="C45" s="76"/>
      <c r="D45" s="57">
        <f t="shared" si="35"/>
        <v>514.29999999999995</v>
      </c>
      <c r="E45" s="171">
        <v>0.26</v>
      </c>
      <c r="F45" s="169"/>
      <c r="I45" s="212"/>
    </row>
    <row r="46" spans="1:9" x14ac:dyDescent="0.25">
      <c r="A46" s="184" t="s">
        <v>494</v>
      </c>
      <c r="B46" s="57">
        <v>1500</v>
      </c>
      <c r="C46" s="76"/>
      <c r="D46" s="57">
        <f t="shared" si="35"/>
        <v>1110</v>
      </c>
      <c r="E46" s="171">
        <v>0.26</v>
      </c>
      <c r="F46" s="169"/>
      <c r="I46" s="212"/>
    </row>
    <row r="47" spans="1:9" x14ac:dyDescent="0.25">
      <c r="A47" s="184" t="s">
        <v>495</v>
      </c>
      <c r="B47" s="57">
        <v>250</v>
      </c>
      <c r="C47" s="76"/>
      <c r="D47" s="57">
        <f>+B47*0.74</f>
        <v>185</v>
      </c>
      <c r="E47" s="171">
        <v>0.26</v>
      </c>
      <c r="F47" s="169"/>
    </row>
    <row r="48" spans="1:9" x14ac:dyDescent="0.25">
      <c r="A48" s="184" t="s">
        <v>496</v>
      </c>
      <c r="B48" s="57">
        <v>1000</v>
      </c>
      <c r="C48" s="76"/>
      <c r="D48" s="57">
        <f t="shared" ref="D48:D49" si="36">+B48*0.74</f>
        <v>740</v>
      </c>
      <c r="E48" s="171">
        <v>0.26</v>
      </c>
      <c r="F48" s="169"/>
    </row>
    <row r="49" spans="1:6" x14ac:dyDescent="0.25">
      <c r="A49" s="184" t="s">
        <v>497</v>
      </c>
      <c r="B49" s="57">
        <v>1500</v>
      </c>
      <c r="C49" s="76"/>
      <c r="D49" s="57">
        <f t="shared" si="36"/>
        <v>1110</v>
      </c>
      <c r="E49" s="171">
        <v>0.26</v>
      </c>
      <c r="F49" s="169"/>
    </row>
    <row r="50" spans="1:6" x14ac:dyDescent="0.25">
      <c r="A50" s="184" t="s">
        <v>498</v>
      </c>
      <c r="B50" s="57">
        <v>985</v>
      </c>
      <c r="C50" s="76"/>
      <c r="D50" s="57">
        <f>+B50*0.74</f>
        <v>728.9</v>
      </c>
      <c r="E50" s="171">
        <v>0.26</v>
      </c>
      <c r="F50" s="169"/>
    </row>
    <row r="51" spans="1:6" x14ac:dyDescent="0.25">
      <c r="A51" s="184" t="s">
        <v>499</v>
      </c>
      <c r="B51" s="57">
        <v>200</v>
      </c>
      <c r="C51" s="76"/>
      <c r="D51" s="57">
        <f>+B51*0.74</f>
        <v>148</v>
      </c>
      <c r="E51" s="171">
        <v>0.26</v>
      </c>
      <c r="F51" s="169"/>
    </row>
    <row r="52" spans="1:6" x14ac:dyDescent="0.25">
      <c r="A52" s="184" t="s">
        <v>500</v>
      </c>
      <c r="B52" s="57">
        <v>40</v>
      </c>
      <c r="C52" s="76"/>
      <c r="D52" s="57">
        <f>+B52*0.74</f>
        <v>29.6</v>
      </c>
      <c r="E52" s="171">
        <v>0.26</v>
      </c>
      <c r="F52" s="169"/>
    </row>
    <row r="53" spans="1:6" x14ac:dyDescent="0.25">
      <c r="A53" s="184" t="s">
        <v>501</v>
      </c>
      <c r="B53" s="57">
        <v>325</v>
      </c>
      <c r="C53" s="76"/>
      <c r="D53" s="57">
        <f>+B53*0.74</f>
        <v>240.5</v>
      </c>
      <c r="E53" s="171">
        <v>0.26</v>
      </c>
      <c r="F53" s="169"/>
    </row>
    <row r="54" spans="1:6" x14ac:dyDescent="0.25">
      <c r="A54" s="184" t="s">
        <v>502</v>
      </c>
      <c r="B54" s="57">
        <v>200</v>
      </c>
      <c r="C54" s="76"/>
      <c r="D54" s="57">
        <f t="shared" ref="D54:D73" si="37">+B54*0.74</f>
        <v>148</v>
      </c>
      <c r="E54" s="171">
        <v>0.26</v>
      </c>
      <c r="F54" s="169"/>
    </row>
    <row r="55" spans="1:6" x14ac:dyDescent="0.25">
      <c r="A55" s="184" t="s">
        <v>503</v>
      </c>
      <c r="B55" s="57">
        <v>150</v>
      </c>
      <c r="C55" s="76"/>
      <c r="D55" s="57">
        <f t="shared" si="37"/>
        <v>111</v>
      </c>
      <c r="E55" s="171">
        <v>0.26</v>
      </c>
      <c r="F55" s="169"/>
    </row>
    <row r="56" spans="1:6" x14ac:dyDescent="0.25">
      <c r="A56" s="184" t="s">
        <v>504</v>
      </c>
      <c r="B56" s="57">
        <v>140</v>
      </c>
      <c r="C56" s="76"/>
      <c r="D56" s="57">
        <f t="shared" si="37"/>
        <v>103.6</v>
      </c>
      <c r="E56" s="77">
        <v>0.26</v>
      </c>
      <c r="F56" s="169"/>
    </row>
    <row r="57" spans="1:6" x14ac:dyDescent="0.25">
      <c r="A57" s="184" t="s">
        <v>505</v>
      </c>
      <c r="B57" s="57">
        <v>150</v>
      </c>
      <c r="C57" s="76"/>
      <c r="D57" s="57">
        <f t="shared" si="37"/>
        <v>111</v>
      </c>
      <c r="E57" s="77">
        <v>0.26</v>
      </c>
      <c r="F57" s="169"/>
    </row>
    <row r="58" spans="1:6" x14ac:dyDescent="0.25">
      <c r="A58" s="184" t="s">
        <v>506</v>
      </c>
      <c r="B58" s="57">
        <v>120</v>
      </c>
      <c r="C58" s="76"/>
      <c r="D58" s="57">
        <f t="shared" si="37"/>
        <v>88.8</v>
      </c>
      <c r="E58" s="77">
        <v>0.26</v>
      </c>
      <c r="F58" s="169"/>
    </row>
    <row r="59" spans="1:6" x14ac:dyDescent="0.25">
      <c r="A59" s="184" t="s">
        <v>507</v>
      </c>
      <c r="B59" s="57">
        <v>795</v>
      </c>
      <c r="C59" s="76"/>
      <c r="D59" s="57">
        <f t="shared" si="37"/>
        <v>588.29999999999995</v>
      </c>
      <c r="E59" s="77">
        <v>0.26</v>
      </c>
      <c r="F59" s="169"/>
    </row>
    <row r="60" spans="1:6" x14ac:dyDescent="0.25">
      <c r="A60" s="184" t="s">
        <v>508</v>
      </c>
      <c r="B60" s="57">
        <v>695</v>
      </c>
      <c r="C60" s="76"/>
      <c r="D60" s="57">
        <f t="shared" si="37"/>
        <v>514.29999999999995</v>
      </c>
      <c r="E60" s="77">
        <v>0.26</v>
      </c>
      <c r="F60" s="169"/>
    </row>
    <row r="61" spans="1:6" x14ac:dyDescent="0.25">
      <c r="A61" s="185" t="s">
        <v>509</v>
      </c>
      <c r="B61" s="57">
        <v>175</v>
      </c>
      <c r="C61" s="76"/>
      <c r="D61" s="57">
        <f t="shared" si="37"/>
        <v>129.5</v>
      </c>
      <c r="E61" s="77">
        <v>0.26</v>
      </c>
      <c r="F61" s="169"/>
    </row>
    <row r="62" spans="1:6" x14ac:dyDescent="0.25">
      <c r="A62" s="185" t="s">
        <v>510</v>
      </c>
      <c r="B62" s="57">
        <v>150</v>
      </c>
      <c r="C62" s="76"/>
      <c r="D62" s="57">
        <f t="shared" si="37"/>
        <v>111</v>
      </c>
      <c r="E62" s="77">
        <v>0.26</v>
      </c>
      <c r="F62" s="169"/>
    </row>
    <row r="63" spans="1:6" x14ac:dyDescent="0.25">
      <c r="A63" s="185" t="s">
        <v>511</v>
      </c>
      <c r="B63" s="57">
        <v>140</v>
      </c>
      <c r="C63" s="76"/>
      <c r="D63" s="57">
        <f t="shared" si="37"/>
        <v>103.6</v>
      </c>
      <c r="E63" s="77">
        <v>0.26</v>
      </c>
      <c r="F63" s="169"/>
    </row>
    <row r="64" spans="1:6" x14ac:dyDescent="0.25">
      <c r="A64" s="185" t="s">
        <v>512</v>
      </c>
      <c r="B64" s="57">
        <v>60</v>
      </c>
      <c r="C64" s="76"/>
      <c r="D64" s="57">
        <f t="shared" si="37"/>
        <v>44.4</v>
      </c>
      <c r="E64" s="77">
        <v>0.26</v>
      </c>
      <c r="F64" s="169"/>
    </row>
    <row r="65" spans="1:6" x14ac:dyDescent="0.25">
      <c r="A65" s="185" t="s">
        <v>513</v>
      </c>
      <c r="B65" s="57">
        <v>25</v>
      </c>
      <c r="C65" s="76"/>
      <c r="D65" s="57">
        <f t="shared" si="37"/>
        <v>18.5</v>
      </c>
      <c r="E65" s="77">
        <v>0.26</v>
      </c>
      <c r="F65" s="169"/>
    </row>
    <row r="66" spans="1:6" ht="15" customHeight="1" x14ac:dyDescent="0.25">
      <c r="A66" s="185" t="s">
        <v>514</v>
      </c>
      <c r="B66" s="57">
        <v>630</v>
      </c>
      <c r="C66" s="76"/>
      <c r="D66" s="57">
        <f t="shared" si="37"/>
        <v>466.2</v>
      </c>
      <c r="E66" s="77">
        <v>0.26</v>
      </c>
      <c r="F66" s="169"/>
    </row>
    <row r="67" spans="1:6" x14ac:dyDescent="0.25">
      <c r="A67" s="185" t="s">
        <v>515</v>
      </c>
      <c r="B67" s="57">
        <v>575</v>
      </c>
      <c r="C67" s="76"/>
      <c r="D67" s="57">
        <f t="shared" si="37"/>
        <v>425.5</v>
      </c>
      <c r="E67" s="77">
        <v>0.26</v>
      </c>
      <c r="F67" s="169"/>
    </row>
    <row r="68" spans="1:6" x14ac:dyDescent="0.25">
      <c r="A68" s="185" t="s">
        <v>516</v>
      </c>
      <c r="B68" s="57">
        <v>299</v>
      </c>
      <c r="C68" s="76"/>
      <c r="D68" s="57">
        <f t="shared" si="37"/>
        <v>221.26</v>
      </c>
      <c r="E68" s="77">
        <v>0.26</v>
      </c>
      <c r="F68" s="169"/>
    </row>
    <row r="69" spans="1:6" x14ac:dyDescent="0.25">
      <c r="A69" s="185" t="s">
        <v>517</v>
      </c>
      <c r="B69" s="57">
        <v>160</v>
      </c>
      <c r="C69" s="76"/>
      <c r="D69" s="57">
        <f t="shared" si="37"/>
        <v>118.4</v>
      </c>
      <c r="E69" s="77">
        <v>0.26</v>
      </c>
      <c r="F69" s="169"/>
    </row>
    <row r="70" spans="1:6" x14ac:dyDescent="0.25">
      <c r="A70" s="185" t="s">
        <v>518</v>
      </c>
      <c r="B70" s="169">
        <v>3020</v>
      </c>
      <c r="C70" s="76"/>
      <c r="D70" s="57">
        <f t="shared" si="37"/>
        <v>2234.8000000000002</v>
      </c>
      <c r="E70" s="77">
        <v>0.26</v>
      </c>
      <c r="F70" s="169"/>
    </row>
    <row r="71" spans="1:6" x14ac:dyDescent="0.25">
      <c r="A71" s="185" t="s">
        <v>519</v>
      </c>
      <c r="B71" s="57">
        <v>100</v>
      </c>
      <c r="C71" s="76"/>
      <c r="D71" s="57">
        <f t="shared" si="37"/>
        <v>74</v>
      </c>
      <c r="E71" s="77">
        <v>0.26</v>
      </c>
      <c r="F71" s="169"/>
    </row>
    <row r="72" spans="1:6" x14ac:dyDescent="0.25">
      <c r="A72" s="185" t="s">
        <v>520</v>
      </c>
      <c r="B72" s="57">
        <v>50</v>
      </c>
      <c r="C72" s="76"/>
      <c r="D72" s="57">
        <f t="shared" si="37"/>
        <v>37</v>
      </c>
      <c r="E72" s="77">
        <v>0.26</v>
      </c>
      <c r="F72" s="169"/>
    </row>
    <row r="73" spans="1:6" x14ac:dyDescent="0.25">
      <c r="A73" s="185" t="s">
        <v>521</v>
      </c>
      <c r="B73" s="57">
        <v>35</v>
      </c>
      <c r="C73" s="76"/>
      <c r="D73" s="57">
        <f t="shared" si="37"/>
        <v>25.9</v>
      </c>
      <c r="E73" s="77">
        <v>0.26</v>
      </c>
      <c r="F73" s="169"/>
    </row>
    <row r="74" spans="1:6" x14ac:dyDescent="0.25">
      <c r="A74" s="209" t="s">
        <v>522</v>
      </c>
      <c r="B74" s="91">
        <v>60</v>
      </c>
      <c r="C74" s="76"/>
      <c r="D74" s="57">
        <f>+B74</f>
        <v>60</v>
      </c>
      <c r="E74" s="77">
        <v>0</v>
      </c>
      <c r="F74" s="169"/>
    </row>
    <row r="75" spans="1:6" x14ac:dyDescent="0.25">
      <c r="A75" s="209" t="s">
        <v>523</v>
      </c>
      <c r="B75" s="91">
        <v>110</v>
      </c>
      <c r="C75" s="76"/>
      <c r="D75" s="57">
        <f>+B75</f>
        <v>110</v>
      </c>
      <c r="E75" s="77">
        <v>0</v>
      </c>
      <c r="F75" s="169"/>
    </row>
    <row r="76" spans="1:6" x14ac:dyDescent="0.25">
      <c r="A76" s="209" t="s">
        <v>524</v>
      </c>
      <c r="B76" s="91">
        <v>160</v>
      </c>
      <c r="C76" s="76"/>
      <c r="D76" s="57">
        <f t="shared" ref="D76:D83" si="38">+B76</f>
        <v>160</v>
      </c>
      <c r="E76" s="77">
        <v>0</v>
      </c>
      <c r="F76" s="169"/>
    </row>
    <row r="77" spans="1:6" x14ac:dyDescent="0.25">
      <c r="A77" s="209" t="s">
        <v>525</v>
      </c>
      <c r="B77" s="91">
        <v>80</v>
      </c>
      <c r="C77" s="76"/>
      <c r="D77" s="57">
        <f t="shared" si="38"/>
        <v>80</v>
      </c>
      <c r="E77" s="77">
        <v>0</v>
      </c>
      <c r="F77" s="169"/>
    </row>
    <row r="78" spans="1:6" x14ac:dyDescent="0.25">
      <c r="A78" s="209" t="s">
        <v>526</v>
      </c>
      <c r="B78" s="91">
        <v>130</v>
      </c>
      <c r="C78" s="76"/>
      <c r="D78" s="57">
        <f t="shared" si="38"/>
        <v>130</v>
      </c>
      <c r="E78" s="77">
        <v>0</v>
      </c>
      <c r="F78" s="169"/>
    </row>
    <row r="79" spans="1:6" x14ac:dyDescent="0.25">
      <c r="A79" s="209" t="s">
        <v>527</v>
      </c>
      <c r="B79" s="91">
        <v>180</v>
      </c>
      <c r="C79" s="76"/>
      <c r="D79" s="57">
        <f t="shared" si="38"/>
        <v>180</v>
      </c>
      <c r="E79" s="77">
        <v>0</v>
      </c>
      <c r="F79" s="169"/>
    </row>
    <row r="80" spans="1:6" x14ac:dyDescent="0.25">
      <c r="A80" s="209" t="s">
        <v>528</v>
      </c>
      <c r="B80" s="91">
        <v>150</v>
      </c>
      <c r="C80" s="76"/>
      <c r="D80" s="57">
        <f t="shared" si="38"/>
        <v>150</v>
      </c>
      <c r="E80" s="77">
        <v>0</v>
      </c>
      <c r="F80" s="169"/>
    </row>
    <row r="81" spans="1:6" x14ac:dyDescent="0.25">
      <c r="A81" s="209" t="s">
        <v>529</v>
      </c>
      <c r="B81" s="91">
        <v>200</v>
      </c>
      <c r="C81" s="76"/>
      <c r="D81" s="57">
        <f t="shared" si="38"/>
        <v>200</v>
      </c>
      <c r="E81" s="77">
        <v>0</v>
      </c>
      <c r="F81" s="169"/>
    </row>
    <row r="82" spans="1:6" x14ac:dyDescent="0.25">
      <c r="A82" s="209" t="s">
        <v>530</v>
      </c>
      <c r="B82" s="91">
        <v>170</v>
      </c>
      <c r="C82" s="76"/>
      <c r="D82" s="57">
        <f t="shared" si="38"/>
        <v>170</v>
      </c>
      <c r="E82" s="77">
        <v>0</v>
      </c>
      <c r="F82" s="169"/>
    </row>
    <row r="83" spans="1:6" x14ac:dyDescent="0.25">
      <c r="A83" s="209" t="s">
        <v>531</v>
      </c>
      <c r="B83" s="91">
        <v>220</v>
      </c>
      <c r="C83" s="76"/>
      <c r="D83" s="57">
        <f t="shared" si="38"/>
        <v>220</v>
      </c>
      <c r="E83" s="77">
        <v>0</v>
      </c>
      <c r="F83" s="169"/>
    </row>
    <row r="84" spans="1:6" ht="14.45" customHeight="1" x14ac:dyDescent="0.25">
      <c r="A84" s="296" t="s">
        <v>532</v>
      </c>
      <c r="B84" s="297"/>
      <c r="C84" s="170"/>
      <c r="D84" s="169"/>
      <c r="E84" s="171"/>
      <c r="F84" s="169"/>
    </row>
    <row r="85" spans="1:6" ht="18.75" x14ac:dyDescent="0.3">
      <c r="A85" s="298" t="s">
        <v>442</v>
      </c>
      <c r="B85" s="298"/>
      <c r="C85" s="298"/>
      <c r="D85" s="298"/>
      <c r="E85" s="298"/>
      <c r="F85" s="298"/>
    </row>
    <row r="86" spans="1:6" ht="15.6" customHeight="1" x14ac:dyDescent="0.25">
      <c r="A86" s="289" t="s">
        <v>443</v>
      </c>
      <c r="B86" s="289"/>
      <c r="C86" s="289"/>
      <c r="D86" s="289"/>
      <c r="E86" s="289"/>
      <c r="F86" s="289"/>
    </row>
    <row r="87" spans="1:6" ht="15.6" customHeight="1" x14ac:dyDescent="0.25">
      <c r="A87" s="289" t="s">
        <v>404</v>
      </c>
      <c r="B87" s="289"/>
      <c r="C87" s="289"/>
      <c r="D87" s="289"/>
      <c r="E87" s="289"/>
      <c r="F87" s="289"/>
    </row>
    <row r="88" spans="1:6" ht="18.75" x14ac:dyDescent="0.3">
      <c r="A88" s="299" t="s">
        <v>448</v>
      </c>
      <c r="B88" s="299"/>
      <c r="C88" s="299"/>
      <c r="D88" s="299"/>
      <c r="E88" s="299"/>
      <c r="F88" s="299"/>
    </row>
    <row r="89" spans="1:6" ht="14.45" customHeight="1" x14ac:dyDescent="0.25">
      <c r="A89" s="300" t="s">
        <v>533</v>
      </c>
      <c r="B89" s="300"/>
      <c r="C89" s="300"/>
      <c r="D89" s="300"/>
      <c r="E89" s="63">
        <v>31.9</v>
      </c>
      <c r="F89" s="63">
        <f>5097*E89</f>
        <v>162594.29999999999</v>
      </c>
    </row>
    <row r="90" spans="1:6" ht="14.45" customHeight="1" x14ac:dyDescent="0.25">
      <c r="A90" s="300" t="s">
        <v>534</v>
      </c>
      <c r="B90" s="300"/>
      <c r="C90" s="300"/>
      <c r="D90" s="300"/>
      <c r="E90" s="63">
        <v>289</v>
      </c>
      <c r="F90" s="63">
        <f>792*289</f>
        <v>228888</v>
      </c>
    </row>
    <row r="91" spans="1:6" x14ac:dyDescent="0.25">
      <c r="A91" s="300" t="s">
        <v>535</v>
      </c>
      <c r="B91" s="300"/>
      <c r="C91" s="300"/>
      <c r="D91" s="300"/>
      <c r="E91" s="63">
        <v>450</v>
      </c>
      <c r="F91" s="63">
        <f>1891*E91</f>
        <v>850950</v>
      </c>
    </row>
    <row r="92" spans="1:6" x14ac:dyDescent="0.25">
      <c r="A92" s="300"/>
      <c r="B92" s="300"/>
      <c r="C92" s="300"/>
      <c r="D92" s="300"/>
      <c r="E92" s="85"/>
      <c r="F92" s="63"/>
    </row>
    <row r="93" spans="1:6" ht="15.6" customHeight="1" x14ac:dyDescent="0.25">
      <c r="A93" s="281" t="s">
        <v>449</v>
      </c>
      <c r="B93" s="281"/>
      <c r="C93" s="281"/>
      <c r="D93" s="281"/>
      <c r="E93" s="281"/>
      <c r="F93" s="167">
        <f>SUM(F89:F92)</f>
        <v>1242432.3</v>
      </c>
    </row>
    <row r="94" spans="1:6" x14ac:dyDescent="0.25">
      <c r="C94" s="41"/>
      <c r="E94" s="68"/>
    </row>
    <row r="95" spans="1:6" ht="15.6" customHeight="1" x14ac:dyDescent="0.25">
      <c r="A95" s="281" t="s">
        <v>452</v>
      </c>
      <c r="B95" s="281"/>
      <c r="C95" s="281"/>
      <c r="D95" s="281"/>
      <c r="E95" s="281"/>
      <c r="F95" s="167">
        <f>+F41+F93</f>
        <v>10960587.350000003</v>
      </c>
    </row>
  </sheetData>
  <mergeCells count="16">
    <mergeCell ref="A95:E95"/>
    <mergeCell ref="A88:F88"/>
    <mergeCell ref="A89:D89"/>
    <mergeCell ref="A90:D90"/>
    <mergeCell ref="A91:D91"/>
    <mergeCell ref="A92:D92"/>
    <mergeCell ref="A93:E93"/>
    <mergeCell ref="A87:F87"/>
    <mergeCell ref="A1:F1"/>
    <mergeCell ref="A2:F2"/>
    <mergeCell ref="A3:F3"/>
    <mergeCell ref="A41:E41"/>
    <mergeCell ref="A42:C42"/>
    <mergeCell ref="A84:B84"/>
    <mergeCell ref="A85:F85"/>
    <mergeCell ref="A86:F86"/>
  </mergeCells>
  <printOptions horizontalCentered="1"/>
  <pageMargins left="0.7" right="0.7" top="0.75" bottom="0.75" header="0.3" footer="0.3"/>
  <pageSetup scale="85" orientation="portrait" r:id="rId1"/>
  <headerFooter>
    <oddHeader>&amp;L&amp;"-,Bold"Nevada Shared Radio System Replacement Project
Washoe County&amp;R&amp;"-,Bold"EX_6_WAS_SOW
Price Schedule_Rev10</oddHeader>
    <oddFooter>&amp;L&amp;"Arial,Regular"Confidential, Proprietary &amp;&amp;
Competition Sensitive&amp;C&amp;G&amp;R&amp;"Arial,Regular"September 17, 2018
Page &amp;P</oddFooter>
  </headerFooter>
  <rowBreaks count="1" manualBreakCount="1">
    <brk id="4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8"/>
  <sheetViews>
    <sheetView workbookViewId="0"/>
  </sheetViews>
  <sheetFormatPr defaultColWidth="9.140625" defaultRowHeight="15" x14ac:dyDescent="0.25"/>
  <cols>
    <col min="1" max="1" width="9.140625" style="41"/>
    <col min="2" max="2" width="27.42578125" customWidth="1"/>
    <col min="3" max="3" width="60.140625" customWidth="1"/>
    <col min="5" max="5" width="35.140625" bestFit="1" customWidth="1"/>
    <col min="6" max="6" width="23.5703125" customWidth="1"/>
    <col min="9" max="10" width="17.5703125" customWidth="1"/>
  </cols>
  <sheetData>
    <row r="1" spans="1:10" ht="19.5" thickBot="1" x14ac:dyDescent="0.35">
      <c r="A1" s="41">
        <v>1</v>
      </c>
      <c r="B1" s="40" t="s">
        <v>536</v>
      </c>
      <c r="C1" s="42" t="s">
        <v>537</v>
      </c>
      <c r="E1" s="43" t="s">
        <v>538</v>
      </c>
      <c r="F1" s="44" t="s">
        <v>539</v>
      </c>
      <c r="I1" s="43" t="s">
        <v>538</v>
      </c>
      <c r="J1" s="44" t="s">
        <v>539</v>
      </c>
    </row>
    <row r="2" spans="1:10" ht="19.5" thickBot="1" x14ac:dyDescent="0.35">
      <c r="A2" s="41">
        <v>2</v>
      </c>
      <c r="B2" s="40" t="s">
        <v>540</v>
      </c>
      <c r="C2" s="42" t="s">
        <v>541</v>
      </c>
      <c r="E2" s="45" t="s">
        <v>542</v>
      </c>
      <c r="F2" s="46" t="s">
        <v>543</v>
      </c>
      <c r="I2" s="45" t="s">
        <v>544</v>
      </c>
      <c r="J2" s="46" t="s">
        <v>545</v>
      </c>
    </row>
    <row r="3" spans="1:10" ht="15.75" thickBot="1" x14ac:dyDescent="0.3">
      <c r="A3" s="41">
        <v>3</v>
      </c>
      <c r="B3" s="40" t="s">
        <v>546</v>
      </c>
      <c r="E3" s="45" t="s">
        <v>547</v>
      </c>
      <c r="F3" s="46" t="s">
        <v>548</v>
      </c>
      <c r="I3" s="45" t="s">
        <v>549</v>
      </c>
      <c r="J3" s="46" t="s">
        <v>550</v>
      </c>
    </row>
    <row r="4" spans="1:10" ht="15.75" thickBot="1" x14ac:dyDescent="0.3">
      <c r="A4" s="41">
        <v>4</v>
      </c>
      <c r="B4" s="40" t="s">
        <v>551</v>
      </c>
      <c r="E4" s="45" t="s">
        <v>547</v>
      </c>
      <c r="F4" s="46" t="s">
        <v>552</v>
      </c>
      <c r="I4" s="45" t="s">
        <v>550</v>
      </c>
      <c r="J4" s="46" t="s">
        <v>544</v>
      </c>
    </row>
    <row r="5" spans="1:10" ht="15.75" thickBot="1" x14ac:dyDescent="0.3">
      <c r="A5" s="41">
        <v>5</v>
      </c>
      <c r="B5" s="40" t="s">
        <v>553</v>
      </c>
      <c r="E5" s="45" t="s">
        <v>554</v>
      </c>
      <c r="F5" s="46" t="s">
        <v>555</v>
      </c>
      <c r="I5" s="45" t="s">
        <v>556</v>
      </c>
      <c r="J5" s="46" t="s">
        <v>557</v>
      </c>
    </row>
    <row r="6" spans="1:10" ht="15.75" thickBot="1" x14ac:dyDescent="0.3">
      <c r="A6" s="41">
        <v>6</v>
      </c>
      <c r="B6" s="40" t="s">
        <v>558</v>
      </c>
      <c r="E6" s="45" t="s">
        <v>559</v>
      </c>
      <c r="F6" s="46" t="s">
        <v>560</v>
      </c>
      <c r="I6" s="45" t="s">
        <v>557</v>
      </c>
      <c r="J6" s="46" t="s">
        <v>561</v>
      </c>
    </row>
    <row r="7" spans="1:10" ht="15.75" thickBot="1" x14ac:dyDescent="0.3">
      <c r="A7" s="41">
        <v>7</v>
      </c>
      <c r="B7" s="40" t="s">
        <v>562</v>
      </c>
      <c r="E7" s="45" t="s">
        <v>563</v>
      </c>
      <c r="F7" s="46" t="s">
        <v>564</v>
      </c>
      <c r="I7" s="45" t="s">
        <v>557</v>
      </c>
      <c r="J7" s="46" t="s">
        <v>565</v>
      </c>
    </row>
    <row r="8" spans="1:10" ht="15.75" thickBot="1" x14ac:dyDescent="0.3">
      <c r="A8" s="41">
        <v>8</v>
      </c>
      <c r="B8" s="40" t="s">
        <v>566</v>
      </c>
      <c r="E8" s="45" t="s">
        <v>567</v>
      </c>
      <c r="F8" s="46" t="s">
        <v>568</v>
      </c>
      <c r="I8" s="45" t="s">
        <v>557</v>
      </c>
      <c r="J8" s="46" t="s">
        <v>569</v>
      </c>
    </row>
    <row r="9" spans="1:10" ht="15.75" thickBot="1" x14ac:dyDescent="0.3">
      <c r="A9" s="41">
        <v>9</v>
      </c>
      <c r="B9" s="40" t="s">
        <v>570</v>
      </c>
      <c r="E9" s="45" t="s">
        <v>567</v>
      </c>
      <c r="F9" s="46" t="s">
        <v>571</v>
      </c>
      <c r="I9" s="45" t="s">
        <v>557</v>
      </c>
      <c r="J9" s="46" t="s">
        <v>549</v>
      </c>
    </row>
    <row r="10" spans="1:10" ht="15.75" thickBot="1" x14ac:dyDescent="0.3">
      <c r="A10" s="41">
        <v>10</v>
      </c>
      <c r="B10" s="40" t="s">
        <v>572</v>
      </c>
      <c r="E10" s="45" t="s">
        <v>557</v>
      </c>
      <c r="F10" s="46" t="s">
        <v>569</v>
      </c>
      <c r="I10" s="45" t="s">
        <v>545</v>
      </c>
      <c r="J10" s="46" t="s">
        <v>573</v>
      </c>
    </row>
    <row r="11" spans="1:10" ht="15.75" thickBot="1" x14ac:dyDescent="0.3">
      <c r="A11" s="41">
        <v>11</v>
      </c>
      <c r="B11" s="40" t="s">
        <v>574</v>
      </c>
      <c r="I11" s="45" t="s">
        <v>575</v>
      </c>
      <c r="J11" s="46" t="s">
        <v>576</v>
      </c>
    </row>
    <row r="12" spans="1:10" ht="15.75" thickBot="1" x14ac:dyDescent="0.3">
      <c r="A12" s="41">
        <v>12</v>
      </c>
      <c r="B12" s="40" t="s">
        <v>577</v>
      </c>
      <c r="I12" s="45" t="s">
        <v>575</v>
      </c>
      <c r="J12" s="46" t="s">
        <v>557</v>
      </c>
    </row>
    <row r="13" spans="1:10" x14ac:dyDescent="0.25">
      <c r="A13" s="41">
        <v>13</v>
      </c>
      <c r="B13" s="40" t="s">
        <v>578</v>
      </c>
      <c r="E13" s="1" t="s">
        <v>579</v>
      </c>
    </row>
    <row r="14" spans="1:10" x14ac:dyDescent="0.25">
      <c r="A14" s="41">
        <v>14</v>
      </c>
      <c r="B14" s="40" t="s">
        <v>580</v>
      </c>
      <c r="E14" s="51" t="s">
        <v>581</v>
      </c>
    </row>
    <row r="15" spans="1:10" ht="15.75" x14ac:dyDescent="0.25">
      <c r="A15" s="41">
        <v>15</v>
      </c>
      <c r="B15" s="40" t="s">
        <v>582</v>
      </c>
      <c r="E15" s="51" t="s">
        <v>583</v>
      </c>
      <c r="I15" s="49" t="s">
        <v>538</v>
      </c>
      <c r="J15" s="49" t="s">
        <v>539</v>
      </c>
    </row>
    <row r="16" spans="1:10" ht="15.75" x14ac:dyDescent="0.25">
      <c r="A16" s="41">
        <v>16</v>
      </c>
      <c r="B16" s="40" t="s">
        <v>584</v>
      </c>
      <c r="E16" s="1" t="s">
        <v>585</v>
      </c>
      <c r="I16" s="49" t="s">
        <v>573</v>
      </c>
      <c r="J16" s="49" t="s">
        <v>545</v>
      </c>
    </row>
    <row r="17" spans="1:10" ht="15.75" x14ac:dyDescent="0.25">
      <c r="A17" s="41">
        <v>17</v>
      </c>
      <c r="B17" s="40" t="s">
        <v>586</v>
      </c>
      <c r="E17" s="1" t="s">
        <v>587</v>
      </c>
      <c r="I17" s="49" t="s">
        <v>544</v>
      </c>
      <c r="J17" s="49" t="s">
        <v>550</v>
      </c>
    </row>
    <row r="18" spans="1:10" ht="15.75" x14ac:dyDescent="0.25">
      <c r="A18" s="41">
        <v>18</v>
      </c>
      <c r="B18" s="40" t="s">
        <v>588</v>
      </c>
      <c r="E18" s="1" t="s">
        <v>589</v>
      </c>
      <c r="I18" s="49" t="s">
        <v>549</v>
      </c>
      <c r="J18" s="49" t="s">
        <v>544</v>
      </c>
    </row>
    <row r="19" spans="1:10" ht="15.75" x14ac:dyDescent="0.25">
      <c r="A19" s="41">
        <v>19</v>
      </c>
      <c r="B19" s="40" t="s">
        <v>590</v>
      </c>
      <c r="E19" s="1" t="s">
        <v>591</v>
      </c>
      <c r="I19" s="49" t="s">
        <v>550</v>
      </c>
      <c r="J19" s="49" t="s">
        <v>557</v>
      </c>
    </row>
    <row r="20" spans="1:10" ht="15.75" x14ac:dyDescent="0.25">
      <c r="A20" s="41">
        <v>20</v>
      </c>
      <c r="B20" s="40" t="s">
        <v>592</v>
      </c>
      <c r="E20" s="1" t="s">
        <v>593</v>
      </c>
      <c r="I20" s="49" t="s">
        <v>556</v>
      </c>
      <c r="J20" s="49" t="s">
        <v>561</v>
      </c>
    </row>
    <row r="21" spans="1:10" ht="15.75" x14ac:dyDescent="0.25">
      <c r="A21" s="41">
        <v>21</v>
      </c>
      <c r="B21" s="40" t="s">
        <v>594</v>
      </c>
      <c r="E21" s="1" t="s">
        <v>595</v>
      </c>
      <c r="I21" s="49" t="s">
        <v>569</v>
      </c>
      <c r="J21" s="49" t="s">
        <v>565</v>
      </c>
    </row>
    <row r="22" spans="1:10" ht="15.75" x14ac:dyDescent="0.25">
      <c r="A22" s="41">
        <v>22</v>
      </c>
      <c r="B22" s="40" t="s">
        <v>596</v>
      </c>
      <c r="I22" s="49" t="s">
        <v>565</v>
      </c>
      <c r="J22" s="49" t="s">
        <v>569</v>
      </c>
    </row>
    <row r="23" spans="1:10" ht="15.75" x14ac:dyDescent="0.25">
      <c r="A23" s="41">
        <v>23</v>
      </c>
      <c r="B23" s="40" t="s">
        <v>597</v>
      </c>
      <c r="I23" s="49" t="s">
        <v>561</v>
      </c>
      <c r="J23" s="49" t="s">
        <v>549</v>
      </c>
    </row>
    <row r="24" spans="1:10" ht="15.75" x14ac:dyDescent="0.25">
      <c r="A24" s="41">
        <v>24</v>
      </c>
      <c r="B24" s="40" t="s">
        <v>598</v>
      </c>
      <c r="I24" s="49" t="s">
        <v>557</v>
      </c>
      <c r="J24" s="49" t="s">
        <v>573</v>
      </c>
    </row>
    <row r="25" spans="1:10" ht="15.75" x14ac:dyDescent="0.25">
      <c r="A25" s="41">
        <v>25</v>
      </c>
      <c r="B25" s="40" t="s">
        <v>599</v>
      </c>
      <c r="I25" s="49" t="s">
        <v>545</v>
      </c>
      <c r="J25" s="49" t="s">
        <v>576</v>
      </c>
    </row>
    <row r="26" spans="1:10" ht="15.75" x14ac:dyDescent="0.25">
      <c r="A26" s="41">
        <v>26</v>
      </c>
      <c r="B26" s="40" t="s">
        <v>600</v>
      </c>
      <c r="I26" s="49" t="s">
        <v>576</v>
      </c>
      <c r="J26" s="49" t="s">
        <v>557</v>
      </c>
    </row>
    <row r="27" spans="1:10" ht="15.75" x14ac:dyDescent="0.25">
      <c r="A27" s="41">
        <v>27</v>
      </c>
      <c r="B27" s="40" t="s">
        <v>601</v>
      </c>
      <c r="I27" s="49" t="s">
        <v>575</v>
      </c>
    </row>
    <row r="28" spans="1:10" ht="15.75" x14ac:dyDescent="0.25">
      <c r="A28" s="41">
        <v>28</v>
      </c>
      <c r="B28" s="40" t="s">
        <v>602</v>
      </c>
      <c r="I28" s="49"/>
    </row>
    <row r="29" spans="1:10" ht="15.75" x14ac:dyDescent="0.25">
      <c r="A29" s="41">
        <v>29</v>
      </c>
      <c r="B29" s="40" t="s">
        <v>603</v>
      </c>
      <c r="I29" s="49"/>
    </row>
    <row r="30" spans="1:10" ht="15.75" x14ac:dyDescent="0.25">
      <c r="A30" s="41">
        <v>30</v>
      </c>
      <c r="B30" s="40" t="s">
        <v>604</v>
      </c>
      <c r="I30" s="49"/>
    </row>
    <row r="31" spans="1:10" ht="15.75" x14ac:dyDescent="0.25">
      <c r="A31" s="41">
        <v>31</v>
      </c>
      <c r="B31" s="40" t="s">
        <v>605</v>
      </c>
      <c r="I31" s="49"/>
    </row>
    <row r="32" spans="1:10" ht="15.75" x14ac:dyDescent="0.25">
      <c r="A32" s="41">
        <v>32</v>
      </c>
      <c r="B32" s="40" t="s">
        <v>606</v>
      </c>
      <c r="I32" s="49"/>
    </row>
    <row r="33" spans="1:9" ht="15.75" x14ac:dyDescent="0.25">
      <c r="A33" s="41">
        <v>33</v>
      </c>
      <c r="B33" s="40" t="s">
        <v>607</v>
      </c>
      <c r="I33" s="49"/>
    </row>
    <row r="34" spans="1:9" ht="15.75" x14ac:dyDescent="0.25">
      <c r="A34" s="41">
        <v>34</v>
      </c>
      <c r="B34" s="40" t="s">
        <v>608</v>
      </c>
      <c r="I34" s="49"/>
    </row>
    <row r="35" spans="1:9" ht="15.75" x14ac:dyDescent="0.25">
      <c r="A35" s="41">
        <v>35</v>
      </c>
      <c r="B35" s="40" t="s">
        <v>609</v>
      </c>
      <c r="I35" s="49"/>
    </row>
    <row r="36" spans="1:9" ht="15.75" x14ac:dyDescent="0.25">
      <c r="A36" s="41">
        <v>36</v>
      </c>
      <c r="B36" s="40" t="s">
        <v>610</v>
      </c>
      <c r="I36" s="49"/>
    </row>
    <row r="37" spans="1:9" ht="15.75" x14ac:dyDescent="0.25">
      <c r="A37" s="41">
        <v>37</v>
      </c>
      <c r="B37" s="40" t="s">
        <v>611</v>
      </c>
      <c r="I37" s="49"/>
    </row>
    <row r="38" spans="1:9" x14ac:dyDescent="0.25">
      <c r="A38" s="41">
        <v>38</v>
      </c>
      <c r="B38" s="40" t="s">
        <v>612</v>
      </c>
    </row>
    <row r="39" spans="1:9" x14ac:dyDescent="0.25">
      <c r="A39" s="41">
        <v>39</v>
      </c>
      <c r="B39" s="40" t="s">
        <v>613</v>
      </c>
    </row>
    <row r="40" spans="1:9" x14ac:dyDescent="0.25">
      <c r="A40" s="41">
        <v>40</v>
      </c>
      <c r="B40" s="40" t="s">
        <v>614</v>
      </c>
    </row>
    <row r="41" spans="1:9" x14ac:dyDescent="0.25">
      <c r="A41" s="41">
        <v>41</v>
      </c>
      <c r="B41" s="40" t="s">
        <v>615</v>
      </c>
    </row>
    <row r="42" spans="1:9" x14ac:dyDescent="0.25">
      <c r="A42" s="41">
        <v>42</v>
      </c>
      <c r="B42" s="40" t="s">
        <v>616</v>
      </c>
    </row>
    <row r="43" spans="1:9" x14ac:dyDescent="0.25">
      <c r="A43" s="41">
        <v>43</v>
      </c>
      <c r="B43" s="40" t="s">
        <v>617</v>
      </c>
    </row>
    <row r="44" spans="1:9" x14ac:dyDescent="0.25">
      <c r="A44" s="41">
        <v>44</v>
      </c>
      <c r="B44" s="40" t="s">
        <v>618</v>
      </c>
    </row>
    <row r="45" spans="1:9" x14ac:dyDescent="0.25">
      <c r="A45" s="41">
        <v>45</v>
      </c>
      <c r="B45" s="40" t="s">
        <v>619</v>
      </c>
    </row>
    <row r="46" spans="1:9" x14ac:dyDescent="0.25">
      <c r="A46" s="41">
        <v>46</v>
      </c>
      <c r="B46" s="40" t="s">
        <v>620</v>
      </c>
    </row>
    <row r="47" spans="1:9" x14ac:dyDescent="0.25">
      <c r="B47" s="40"/>
    </row>
    <row r="48" spans="1:9" x14ac:dyDescent="0.25">
      <c r="B48" s="40"/>
    </row>
  </sheetData>
  <customSheetViews>
    <customSheetView guid="{2CCC7B39-935D-435C-BB32-70CB41003C82}" state="hidden">
      <pageMargins left="0" right="0" top="0" bottom="0" header="0" footer="0"/>
      <pageSetup orientation="portrait" r:id="rId1"/>
    </customSheetView>
    <customSheetView guid="{9C902D8C-99B9-4A37-8078-0EB8BCE2A547}" state="hidden">
      <pageMargins left="0" right="0" top="0" bottom="0" header="0" footer="0"/>
      <pageSetup orientation="portrait" r:id="rId2"/>
    </customSheetView>
    <customSheetView guid="{EFF273BD-F73A-4BFF-8940-4E7CE3C7328B}" state="hidden">
      <pageMargins left="0" right="0" top="0" bottom="0" header="0" footer="0"/>
      <pageSetup orientation="portrait" r:id="rId3"/>
    </customSheetView>
  </customSheetView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EU86"/>
  <sheetViews>
    <sheetView view="pageBreakPreview" zoomScaleNormal="100" zoomScaleSheetLayoutView="100" workbookViewId="0">
      <pane xSplit="1" ySplit="4" topLeftCell="B43" activePane="bottomRight" state="frozen"/>
      <selection pane="topRight" activeCell="E36" sqref="E36"/>
      <selection pane="bottomLeft" activeCell="E36" sqref="E36"/>
      <selection pane="bottomRight" activeCell="F70" sqref="F70"/>
    </sheetView>
  </sheetViews>
  <sheetFormatPr defaultColWidth="9.140625" defaultRowHeight="15" x14ac:dyDescent="0.25"/>
  <cols>
    <col min="1" max="1" width="50.85546875" style="21" customWidth="1"/>
    <col min="2" max="2" width="22.42578125" style="83" customWidth="1"/>
    <col min="3" max="3" width="13.85546875" style="83" customWidth="1"/>
    <col min="4" max="4" width="5.140625" style="24" customWidth="1"/>
    <col min="5" max="5" width="17.42578125" style="83" customWidth="1"/>
    <col min="6" max="6" width="16.5703125" style="23" customWidth="1"/>
    <col min="7" max="7" width="16.5703125" style="83" customWidth="1"/>
    <col min="8" max="8" width="13.5703125" style="83" customWidth="1"/>
    <col min="9" max="9" width="4.5703125" style="24" customWidth="1"/>
    <col min="10" max="10" width="16.5703125" style="83" customWidth="1"/>
    <col min="11" max="11" width="16.5703125" style="23" customWidth="1"/>
    <col min="12" max="12" width="16.5703125" style="83" customWidth="1"/>
    <col min="13" max="13" width="13.5703125" style="83" bestFit="1" customWidth="1"/>
    <col min="14" max="14" width="4.5703125" style="24" customWidth="1"/>
    <col min="15" max="15" width="16.5703125" style="83" customWidth="1"/>
    <col min="16" max="16" width="16.5703125" style="23" customWidth="1"/>
    <col min="17" max="17" width="16.5703125" style="83" customWidth="1"/>
    <col min="18" max="18" width="13.5703125" style="83" bestFit="1" customWidth="1"/>
    <col min="19" max="19" width="4.5703125" style="24" customWidth="1"/>
    <col min="20" max="20" width="16.5703125" style="83" customWidth="1"/>
    <col min="21" max="21" width="16.5703125" style="23" customWidth="1"/>
    <col min="22" max="22" width="16.5703125" style="83" customWidth="1"/>
    <col min="23" max="23" width="13.5703125" style="83" bestFit="1" customWidth="1"/>
    <col min="24" max="24" width="4.5703125" style="24" customWidth="1"/>
    <col min="25" max="25" width="16.5703125" style="83" customWidth="1"/>
    <col min="26" max="26" width="16.5703125" style="23" customWidth="1"/>
    <col min="27" max="27" width="16.5703125" style="83" customWidth="1"/>
    <col min="28" max="28" width="13.5703125" style="83" bestFit="1" customWidth="1"/>
    <col min="29" max="29" width="4.5703125" style="24" customWidth="1"/>
    <col min="30" max="30" width="16.5703125" style="83" customWidth="1"/>
    <col min="31" max="31" width="16.5703125" style="23" customWidth="1"/>
    <col min="32" max="32" width="16.5703125" style="83" customWidth="1"/>
    <col min="33" max="33" width="13.5703125" style="83" bestFit="1" customWidth="1"/>
    <col min="34" max="34" width="4.5703125" style="24" customWidth="1"/>
    <col min="35" max="35" width="16.5703125" style="83" customWidth="1"/>
    <col min="36" max="36" width="16.5703125" style="23" customWidth="1"/>
    <col min="37" max="37" width="16.5703125" style="83" customWidth="1"/>
    <col min="38" max="38" width="13.5703125" style="83" bestFit="1" customWidth="1"/>
    <col min="39" max="39" width="4.5703125" style="24" customWidth="1"/>
    <col min="40" max="40" width="16.5703125" style="83" customWidth="1"/>
    <col min="41" max="41" width="16.5703125" style="23" customWidth="1"/>
    <col min="42" max="42" width="16.5703125" style="83" customWidth="1"/>
    <col min="43" max="43" width="13.5703125" style="83" bestFit="1" customWidth="1"/>
    <col min="44" max="44" width="4.5703125" style="24" customWidth="1"/>
    <col min="45" max="45" width="16.5703125" style="83" customWidth="1"/>
    <col min="46" max="46" width="16.5703125" style="23" customWidth="1"/>
    <col min="47" max="47" width="16.5703125" style="83" customWidth="1"/>
    <col min="48" max="48" width="13.5703125" style="83" bestFit="1" customWidth="1"/>
    <col min="49" max="49" width="4.5703125" style="24" customWidth="1"/>
    <col min="50" max="50" width="16.5703125" style="83" customWidth="1"/>
    <col min="51" max="51" width="16.5703125" style="23" customWidth="1"/>
    <col min="52" max="52" width="16.5703125" style="83" customWidth="1"/>
    <col min="53" max="53" width="13.5703125" style="83" bestFit="1" customWidth="1"/>
    <col min="54" max="54" width="4.5703125" style="24" customWidth="1"/>
    <col min="55" max="55" width="16.5703125" style="83" customWidth="1"/>
    <col min="56" max="56" width="16.5703125" style="23" customWidth="1"/>
    <col min="57" max="57" width="16.5703125" style="83" customWidth="1"/>
    <col min="58" max="58" width="13.5703125" style="83" bestFit="1" customWidth="1"/>
    <col min="59" max="59" width="4.5703125" style="24" customWidth="1"/>
    <col min="60" max="60" width="16.5703125" style="83" customWidth="1"/>
    <col min="61" max="61" width="16.5703125" style="23" customWidth="1"/>
    <col min="62" max="62" width="16.5703125" style="83" customWidth="1"/>
    <col min="63" max="63" width="13.5703125" style="83" bestFit="1" customWidth="1"/>
    <col min="64" max="64" width="4.5703125" style="24" customWidth="1"/>
    <col min="65" max="65" width="16.5703125" style="83" customWidth="1"/>
    <col min="66" max="66" width="16.5703125" style="23" customWidth="1"/>
    <col min="67" max="67" width="16.5703125" style="83" customWidth="1"/>
    <col min="68" max="68" width="13.5703125" style="83" bestFit="1" customWidth="1"/>
    <col min="69" max="69" width="4.5703125" style="24" customWidth="1"/>
    <col min="70" max="70" width="16.5703125" style="83" customWidth="1"/>
    <col min="71" max="71" width="16.5703125" style="23" customWidth="1"/>
    <col min="72" max="72" width="16.5703125" style="83" customWidth="1"/>
    <col min="73" max="73" width="9.140625" style="21"/>
    <col min="74" max="74" width="22.42578125" style="83" customWidth="1"/>
    <col min="75" max="75" width="13.5703125" style="83" bestFit="1" customWidth="1"/>
    <col min="76" max="76" width="5.140625" style="24" customWidth="1"/>
    <col min="77" max="77" width="17.42578125" style="83" customWidth="1"/>
    <col min="78" max="78" width="16.5703125" style="23" customWidth="1"/>
    <col min="79" max="79" width="16.5703125" style="83" customWidth="1"/>
    <col min="80" max="80" width="13.5703125" style="83" customWidth="1"/>
    <col min="81" max="81" width="4.5703125" style="24" customWidth="1"/>
    <col min="82" max="82" width="16.5703125" style="83" customWidth="1"/>
    <col min="83" max="83" width="16.5703125" style="23" customWidth="1"/>
    <col min="84" max="84" width="16.5703125" style="83" customWidth="1"/>
    <col min="85" max="85" width="13.5703125" style="83" bestFit="1" customWidth="1"/>
    <col min="86" max="86" width="4.5703125" style="24" customWidth="1"/>
    <col min="87" max="87" width="16.5703125" style="83" customWidth="1"/>
    <col min="88" max="88" width="16.5703125" style="23" customWidth="1"/>
    <col min="89" max="89" width="16.5703125" style="83" customWidth="1"/>
    <col min="90" max="90" width="13.5703125" style="83" bestFit="1" customWidth="1"/>
    <col min="91" max="91" width="4.5703125" style="24" customWidth="1"/>
    <col min="92" max="92" width="16.5703125" style="83" customWidth="1"/>
    <col min="93" max="93" width="16.5703125" style="23" customWidth="1"/>
    <col min="94" max="94" width="16.5703125" style="83" customWidth="1"/>
    <col min="95" max="95" width="13.5703125" style="83" bestFit="1" customWidth="1"/>
    <col min="96" max="96" width="4.5703125" style="24" customWidth="1"/>
    <col min="97" max="97" width="16.5703125" style="83" customWidth="1"/>
    <col min="98" max="98" width="16.5703125" style="23" customWidth="1"/>
    <col min="99" max="99" width="16.5703125" style="83" customWidth="1"/>
    <col min="100" max="100" width="13.5703125" style="83" bestFit="1" customWidth="1"/>
    <col min="101" max="101" width="4.5703125" style="24" customWidth="1"/>
    <col min="102" max="102" width="16.5703125" style="83" customWidth="1"/>
    <col min="103" max="103" width="16.5703125" style="23" customWidth="1"/>
    <col min="104" max="104" width="16.5703125" style="83" customWidth="1"/>
    <col min="105" max="105" width="13.5703125" style="83" bestFit="1" customWidth="1"/>
    <col min="106" max="106" width="4.5703125" style="24" customWidth="1"/>
    <col min="107" max="107" width="16.5703125" style="83" customWidth="1"/>
    <col min="108" max="108" width="16.5703125" style="23" customWidth="1"/>
    <col min="109" max="109" width="16.5703125" style="83" customWidth="1"/>
    <col min="110" max="110" width="13.5703125" style="83" bestFit="1" customWidth="1"/>
    <col min="111" max="111" width="4.5703125" style="24" customWidth="1"/>
    <col min="112" max="112" width="16.5703125" style="83" customWidth="1"/>
    <col min="113" max="113" width="16.5703125" style="23" customWidth="1"/>
    <col min="114" max="114" width="16.5703125" style="83" customWidth="1"/>
    <col min="115" max="115" width="13.5703125" style="83" bestFit="1" customWidth="1"/>
    <col min="116" max="116" width="4.5703125" style="24" customWidth="1"/>
    <col min="117" max="117" width="16.5703125" style="83" customWidth="1"/>
    <col min="118" max="118" width="16.5703125" style="23" customWidth="1"/>
    <col min="119" max="119" width="16.5703125" style="83" customWidth="1"/>
    <col min="120" max="120" width="13.5703125" style="83" bestFit="1" customWidth="1"/>
    <col min="121" max="121" width="4.5703125" style="24" customWidth="1"/>
    <col min="122" max="122" width="16.5703125" style="83" customWidth="1"/>
    <col min="123" max="123" width="16.5703125" style="23" customWidth="1"/>
    <col min="124" max="124" width="16.5703125" style="83" customWidth="1"/>
    <col min="125" max="125" width="13.5703125" style="83" bestFit="1" customWidth="1"/>
    <col min="126" max="126" width="4.5703125" style="24" customWidth="1"/>
    <col min="127" max="127" width="16.5703125" style="83" customWidth="1"/>
    <col min="128" max="128" width="16.5703125" style="23" customWidth="1"/>
    <col min="129" max="129" width="16.5703125" style="83" customWidth="1"/>
    <col min="130" max="130" width="13.5703125" style="83" bestFit="1" customWidth="1"/>
    <col min="131" max="131" width="4.5703125" style="24" customWidth="1"/>
    <col min="132" max="132" width="16.5703125" style="83" customWidth="1"/>
    <col min="133" max="133" width="16.5703125" style="23" customWidth="1"/>
    <col min="134" max="134" width="16.5703125" style="83" customWidth="1"/>
    <col min="135" max="135" width="13.5703125" style="83" bestFit="1" customWidth="1"/>
    <col min="136" max="136" width="4.5703125" style="24" customWidth="1"/>
    <col min="137" max="137" width="16.5703125" style="83" customWidth="1"/>
    <col min="138" max="138" width="16.5703125" style="23" customWidth="1"/>
    <col min="139" max="139" width="16.5703125" style="83" customWidth="1"/>
    <col min="140" max="140" width="13.5703125" style="83" bestFit="1" customWidth="1"/>
    <col min="141" max="141" width="4.5703125" style="24" customWidth="1"/>
    <col min="142" max="142" width="16.5703125" style="83" customWidth="1"/>
    <col min="143" max="143" width="16.5703125" style="23" customWidth="1"/>
    <col min="144" max="144" width="16.5703125" style="83" customWidth="1"/>
    <col min="145" max="145" width="13.5703125" style="83" bestFit="1" customWidth="1"/>
    <col min="146" max="146" width="4.5703125" style="24" customWidth="1"/>
    <col min="147" max="147" width="16.5703125" style="83" customWidth="1"/>
    <col min="148" max="148" width="16.5703125" style="23" customWidth="1"/>
    <col min="149" max="149" width="16.5703125" style="83" customWidth="1"/>
    <col min="150" max="16384" width="9.140625" style="21"/>
  </cols>
  <sheetData>
    <row r="1" spans="1:151" ht="15.75" x14ac:dyDescent="0.25">
      <c r="A1" s="88" t="s">
        <v>35</v>
      </c>
      <c r="B1" s="116"/>
      <c r="C1" s="123"/>
      <c r="D1" s="131"/>
      <c r="E1" s="247"/>
      <c r="F1" s="248"/>
      <c r="G1" s="249"/>
      <c r="H1" s="119"/>
      <c r="I1" s="131"/>
      <c r="J1" s="244"/>
      <c r="K1" s="245"/>
      <c r="L1" s="246"/>
      <c r="M1" s="119"/>
      <c r="N1" s="131"/>
      <c r="O1" s="244"/>
      <c r="P1" s="245"/>
      <c r="Q1" s="246"/>
      <c r="R1" s="119"/>
      <c r="S1" s="131"/>
      <c r="T1" s="244"/>
      <c r="U1" s="245"/>
      <c r="V1" s="246"/>
      <c r="W1" s="119"/>
      <c r="X1" s="131"/>
      <c r="Y1" s="244"/>
      <c r="Z1" s="245"/>
      <c r="AA1" s="246"/>
      <c r="AB1" s="119"/>
      <c r="AC1" s="131"/>
      <c r="AD1" s="244"/>
      <c r="AE1" s="245"/>
      <c r="AF1" s="246"/>
      <c r="AG1" s="119"/>
      <c r="AH1" s="131"/>
      <c r="AI1" s="244"/>
      <c r="AJ1" s="245"/>
      <c r="AK1" s="246"/>
      <c r="AL1" s="119"/>
      <c r="AM1" s="131"/>
      <c r="AN1" s="244"/>
      <c r="AO1" s="245"/>
      <c r="AP1" s="246"/>
      <c r="AQ1" s="119"/>
      <c r="AR1" s="131"/>
      <c r="AS1" s="244"/>
      <c r="AT1" s="245"/>
      <c r="AU1" s="246"/>
      <c r="AV1" s="119"/>
      <c r="AW1" s="131"/>
      <c r="AX1" s="244"/>
      <c r="AY1" s="245"/>
      <c r="AZ1" s="246"/>
      <c r="BA1" s="119"/>
      <c r="BB1" s="131"/>
      <c r="BC1" s="244"/>
      <c r="BD1" s="245"/>
      <c r="BE1" s="246"/>
      <c r="BF1" s="119"/>
      <c r="BG1" s="131"/>
      <c r="BH1" s="244"/>
      <c r="BI1" s="245"/>
      <c r="BJ1" s="246"/>
      <c r="BK1" s="119"/>
      <c r="BL1" s="131"/>
      <c r="BM1" s="244"/>
      <c r="BN1" s="245"/>
      <c r="BO1" s="246"/>
      <c r="BP1" s="119"/>
      <c r="BQ1" s="131"/>
      <c r="BR1" s="244"/>
      <c r="BS1" s="245"/>
      <c r="BT1" s="246"/>
      <c r="BV1" s="133"/>
      <c r="BW1" s="134"/>
      <c r="BX1" s="135"/>
      <c r="BY1" s="241"/>
      <c r="BZ1" s="242"/>
      <c r="CA1" s="243"/>
      <c r="CB1" s="136"/>
      <c r="CC1" s="135"/>
      <c r="CD1" s="238"/>
      <c r="CE1" s="239"/>
      <c r="CF1" s="240"/>
      <c r="CG1" s="136"/>
      <c r="CH1" s="135"/>
      <c r="CI1" s="238"/>
      <c r="CJ1" s="239"/>
      <c r="CK1" s="240"/>
      <c r="CL1" s="136"/>
      <c r="CM1" s="135"/>
      <c r="CN1" s="238"/>
      <c r="CO1" s="239"/>
      <c r="CP1" s="240"/>
      <c r="CQ1" s="136"/>
      <c r="CR1" s="135"/>
      <c r="CS1" s="238"/>
      <c r="CT1" s="239"/>
      <c r="CU1" s="240"/>
      <c r="CV1" s="136"/>
      <c r="CW1" s="135"/>
      <c r="CX1" s="238"/>
      <c r="CY1" s="239"/>
      <c r="CZ1" s="240"/>
      <c r="DA1" s="136"/>
      <c r="DB1" s="135"/>
      <c r="DC1" s="238"/>
      <c r="DD1" s="239"/>
      <c r="DE1" s="240"/>
      <c r="DF1" s="136"/>
      <c r="DG1" s="135"/>
      <c r="DH1" s="238"/>
      <c r="DI1" s="239"/>
      <c r="DJ1" s="240"/>
      <c r="DK1" s="136"/>
      <c r="DL1" s="135"/>
      <c r="DM1" s="238"/>
      <c r="DN1" s="239"/>
      <c r="DO1" s="240"/>
      <c r="DP1" s="136"/>
      <c r="DQ1" s="135"/>
      <c r="DR1" s="238"/>
      <c r="DS1" s="239"/>
      <c r="DT1" s="240"/>
      <c r="DU1" s="136"/>
      <c r="DV1" s="135"/>
      <c r="DW1" s="238"/>
      <c r="DX1" s="239"/>
      <c r="DY1" s="240"/>
      <c r="DZ1" s="136"/>
      <c r="EA1" s="135"/>
      <c r="EB1" s="238"/>
      <c r="EC1" s="239"/>
      <c r="ED1" s="240"/>
      <c r="EE1" s="136"/>
      <c r="EF1" s="135"/>
      <c r="EG1" s="238"/>
      <c r="EH1" s="239"/>
      <c r="EI1" s="240"/>
      <c r="EJ1" s="136"/>
      <c r="EK1" s="135"/>
      <c r="EL1" s="238"/>
      <c r="EM1" s="239"/>
      <c r="EN1" s="240"/>
      <c r="EO1" s="136"/>
      <c r="EP1" s="135"/>
      <c r="EQ1" s="238"/>
      <c r="ER1" s="239"/>
      <c r="ES1" s="240"/>
    </row>
    <row r="2" spans="1:151" s="59" customFormat="1" ht="15.75" x14ac:dyDescent="0.25">
      <c r="A2" s="84"/>
      <c r="B2" s="117" t="s">
        <v>36</v>
      </c>
      <c r="C2" s="124" t="s">
        <v>37</v>
      </c>
      <c r="D2" s="131">
        <v>1</v>
      </c>
      <c r="E2" s="236" t="s">
        <v>38</v>
      </c>
      <c r="F2" s="236"/>
      <c r="G2" s="237"/>
      <c r="H2" s="130" t="s">
        <v>37</v>
      </c>
      <c r="I2" s="132">
        <v>2</v>
      </c>
      <c r="J2" s="236" t="s">
        <v>39</v>
      </c>
      <c r="K2" s="236"/>
      <c r="L2" s="237"/>
      <c r="M2" s="130" t="s">
        <v>37</v>
      </c>
      <c r="N2" s="132">
        <v>3</v>
      </c>
      <c r="O2" s="236" t="s">
        <v>40</v>
      </c>
      <c r="P2" s="236"/>
      <c r="Q2" s="237"/>
      <c r="R2" s="130" t="s">
        <v>37</v>
      </c>
      <c r="S2" s="132">
        <v>4</v>
      </c>
      <c r="T2" s="236" t="s">
        <v>41</v>
      </c>
      <c r="U2" s="236"/>
      <c r="V2" s="237"/>
      <c r="W2" s="130" t="s">
        <v>37</v>
      </c>
      <c r="X2" s="132">
        <v>5</v>
      </c>
      <c r="Y2" s="236" t="s">
        <v>42</v>
      </c>
      <c r="Z2" s="236"/>
      <c r="AA2" s="237"/>
      <c r="AB2" s="130" t="s">
        <v>37</v>
      </c>
      <c r="AC2" s="132">
        <v>6</v>
      </c>
      <c r="AD2" s="236" t="s">
        <v>43</v>
      </c>
      <c r="AE2" s="236"/>
      <c r="AF2" s="237"/>
      <c r="AG2" s="130" t="s">
        <v>37</v>
      </c>
      <c r="AH2" s="132">
        <v>7</v>
      </c>
      <c r="AI2" s="236" t="s">
        <v>44</v>
      </c>
      <c r="AJ2" s="236"/>
      <c r="AK2" s="237"/>
      <c r="AL2" s="130" t="s">
        <v>37</v>
      </c>
      <c r="AM2" s="132">
        <v>8</v>
      </c>
      <c r="AN2" s="236" t="s">
        <v>45</v>
      </c>
      <c r="AO2" s="236"/>
      <c r="AP2" s="237"/>
      <c r="AQ2" s="130" t="s">
        <v>37</v>
      </c>
      <c r="AR2" s="132">
        <v>9</v>
      </c>
      <c r="AS2" s="236" t="s">
        <v>46</v>
      </c>
      <c r="AT2" s="236"/>
      <c r="AU2" s="237"/>
      <c r="AV2" s="130" t="s">
        <v>37</v>
      </c>
      <c r="AW2" s="132">
        <v>10</v>
      </c>
      <c r="AX2" s="236" t="s">
        <v>47</v>
      </c>
      <c r="AY2" s="236"/>
      <c r="AZ2" s="237"/>
      <c r="BA2" s="130" t="s">
        <v>37</v>
      </c>
      <c r="BB2" s="132">
        <v>11</v>
      </c>
      <c r="BC2" s="236" t="s">
        <v>48</v>
      </c>
      <c r="BD2" s="236"/>
      <c r="BE2" s="237"/>
      <c r="BF2" s="130" t="s">
        <v>37</v>
      </c>
      <c r="BG2" s="132">
        <v>12</v>
      </c>
      <c r="BH2" s="236" t="s">
        <v>49</v>
      </c>
      <c r="BI2" s="236"/>
      <c r="BJ2" s="237"/>
      <c r="BK2" s="130" t="s">
        <v>37</v>
      </c>
      <c r="BL2" s="132">
        <v>13</v>
      </c>
      <c r="BM2" s="236" t="s">
        <v>50</v>
      </c>
      <c r="BN2" s="236"/>
      <c r="BO2" s="237"/>
      <c r="BP2" s="130" t="s">
        <v>37</v>
      </c>
      <c r="BQ2" s="132">
        <v>14</v>
      </c>
      <c r="BR2" s="236" t="s">
        <v>51</v>
      </c>
      <c r="BS2" s="236"/>
      <c r="BT2" s="237"/>
      <c r="BV2" s="137" t="s">
        <v>52</v>
      </c>
      <c r="BW2" s="138" t="s">
        <v>37</v>
      </c>
      <c r="BX2" s="135">
        <v>1</v>
      </c>
      <c r="BY2" s="234" t="s">
        <v>53</v>
      </c>
      <c r="BZ2" s="234"/>
      <c r="CA2" s="235"/>
      <c r="CB2" s="139" t="s">
        <v>37</v>
      </c>
      <c r="CC2" s="140">
        <v>2</v>
      </c>
      <c r="CD2" s="234" t="s">
        <v>54</v>
      </c>
      <c r="CE2" s="234"/>
      <c r="CF2" s="235"/>
      <c r="CG2" s="139" t="s">
        <v>37</v>
      </c>
      <c r="CH2" s="140">
        <v>3</v>
      </c>
      <c r="CI2" s="234" t="s">
        <v>55</v>
      </c>
      <c r="CJ2" s="234"/>
      <c r="CK2" s="235"/>
      <c r="CL2" s="139" t="s">
        <v>37</v>
      </c>
      <c r="CM2" s="140">
        <v>4</v>
      </c>
      <c r="CN2" s="234" t="s">
        <v>56</v>
      </c>
      <c r="CO2" s="234"/>
      <c r="CP2" s="235"/>
      <c r="CQ2" s="139" t="s">
        <v>37</v>
      </c>
      <c r="CR2" s="140">
        <v>5</v>
      </c>
      <c r="CS2" s="234" t="s">
        <v>57</v>
      </c>
      <c r="CT2" s="234"/>
      <c r="CU2" s="235"/>
      <c r="CV2" s="139" t="s">
        <v>37</v>
      </c>
      <c r="CW2" s="140">
        <v>6</v>
      </c>
      <c r="CX2" s="234" t="s">
        <v>58</v>
      </c>
      <c r="CY2" s="234"/>
      <c r="CZ2" s="235"/>
      <c r="DA2" s="139" t="s">
        <v>37</v>
      </c>
      <c r="DB2" s="140">
        <v>7</v>
      </c>
      <c r="DC2" s="234" t="s">
        <v>59</v>
      </c>
      <c r="DD2" s="234"/>
      <c r="DE2" s="235"/>
      <c r="DF2" s="139" t="s">
        <v>37</v>
      </c>
      <c r="DG2" s="140">
        <v>8</v>
      </c>
      <c r="DH2" s="234" t="s">
        <v>60</v>
      </c>
      <c r="DI2" s="234"/>
      <c r="DJ2" s="235"/>
      <c r="DK2" s="139" t="s">
        <v>37</v>
      </c>
      <c r="DL2" s="140">
        <v>9</v>
      </c>
      <c r="DM2" s="234" t="s">
        <v>61</v>
      </c>
      <c r="DN2" s="234"/>
      <c r="DO2" s="235"/>
      <c r="DP2" s="139" t="s">
        <v>37</v>
      </c>
      <c r="DQ2" s="140">
        <v>10</v>
      </c>
      <c r="DR2" s="234" t="s">
        <v>62</v>
      </c>
      <c r="DS2" s="234"/>
      <c r="DT2" s="235"/>
      <c r="DU2" s="139" t="s">
        <v>37</v>
      </c>
      <c r="DV2" s="140">
        <v>11</v>
      </c>
      <c r="DW2" s="234" t="s">
        <v>63</v>
      </c>
      <c r="DX2" s="234"/>
      <c r="DY2" s="235"/>
      <c r="DZ2" s="139" t="s">
        <v>37</v>
      </c>
      <c r="EA2" s="140">
        <v>12</v>
      </c>
      <c r="EB2" s="234" t="s">
        <v>64</v>
      </c>
      <c r="EC2" s="234"/>
      <c r="ED2" s="235"/>
      <c r="EE2" s="139" t="s">
        <v>37</v>
      </c>
      <c r="EF2" s="140">
        <v>13</v>
      </c>
      <c r="EG2" s="234" t="s">
        <v>65</v>
      </c>
      <c r="EH2" s="234"/>
      <c r="EI2" s="235"/>
      <c r="EJ2" s="139" t="s">
        <v>37</v>
      </c>
      <c r="EK2" s="140">
        <v>14</v>
      </c>
      <c r="EL2" s="234" t="s">
        <v>66</v>
      </c>
      <c r="EM2" s="234"/>
      <c r="EN2" s="235"/>
      <c r="EO2" s="139" t="s">
        <v>37</v>
      </c>
      <c r="EP2" s="140">
        <v>15</v>
      </c>
      <c r="EQ2" s="234" t="s">
        <v>67</v>
      </c>
      <c r="ER2" s="234"/>
      <c r="ES2" s="235"/>
    </row>
    <row r="3" spans="1:151" s="59" customFormat="1" ht="15.75" x14ac:dyDescent="0.25">
      <c r="A3" s="60" t="s">
        <v>68</v>
      </c>
      <c r="B3" s="116"/>
      <c r="C3" s="128"/>
      <c r="D3" s="115"/>
      <c r="E3" s="228" t="s">
        <v>69</v>
      </c>
      <c r="F3" s="229"/>
      <c r="G3" s="230"/>
      <c r="H3" s="129"/>
      <c r="I3" s="115"/>
      <c r="J3" s="228" t="s">
        <v>69</v>
      </c>
      <c r="K3" s="229"/>
      <c r="L3" s="230"/>
      <c r="M3" s="129"/>
      <c r="N3" s="115"/>
      <c r="O3" s="228" t="s">
        <v>70</v>
      </c>
      <c r="P3" s="229"/>
      <c r="Q3" s="230"/>
      <c r="R3" s="129"/>
      <c r="S3" s="115"/>
      <c r="T3" s="228" t="s">
        <v>70</v>
      </c>
      <c r="U3" s="229"/>
      <c r="V3" s="230"/>
      <c r="W3" s="129"/>
      <c r="X3" s="115"/>
      <c r="Y3" s="231" t="s">
        <v>71</v>
      </c>
      <c r="Z3" s="232"/>
      <c r="AA3" s="233"/>
      <c r="AB3" s="129"/>
      <c r="AC3" s="115"/>
      <c r="AD3" s="231" t="s">
        <v>71</v>
      </c>
      <c r="AE3" s="232"/>
      <c r="AF3" s="233"/>
      <c r="AG3" s="129"/>
      <c r="AH3" s="115"/>
      <c r="AI3" s="228" t="s">
        <v>72</v>
      </c>
      <c r="AJ3" s="229"/>
      <c r="AK3" s="230"/>
      <c r="AL3" s="129"/>
      <c r="AM3" s="115"/>
      <c r="AN3" s="228" t="s">
        <v>72</v>
      </c>
      <c r="AO3" s="229"/>
      <c r="AP3" s="230"/>
      <c r="AQ3" s="129"/>
      <c r="AR3" s="115"/>
      <c r="AS3" s="231" t="s">
        <v>73</v>
      </c>
      <c r="AT3" s="232"/>
      <c r="AU3" s="233"/>
      <c r="AV3" s="129"/>
      <c r="AW3" s="115"/>
      <c r="AX3" s="231" t="s">
        <v>73</v>
      </c>
      <c r="AY3" s="232"/>
      <c r="AZ3" s="233"/>
      <c r="BA3" s="129"/>
      <c r="BB3" s="115"/>
      <c r="BC3" s="228" t="s">
        <v>74</v>
      </c>
      <c r="BD3" s="229"/>
      <c r="BE3" s="230"/>
      <c r="BF3" s="129"/>
      <c r="BG3" s="115"/>
      <c r="BH3" s="228" t="s">
        <v>75</v>
      </c>
      <c r="BI3" s="229"/>
      <c r="BJ3" s="230"/>
      <c r="BK3" s="129"/>
      <c r="BL3" s="115"/>
      <c r="BM3" s="228" t="s">
        <v>76</v>
      </c>
      <c r="BN3" s="229"/>
      <c r="BO3" s="230"/>
      <c r="BP3" s="129"/>
      <c r="BQ3" s="115"/>
      <c r="BR3" s="228" t="s">
        <v>77</v>
      </c>
      <c r="BS3" s="229"/>
      <c r="BT3" s="230"/>
      <c r="BV3" s="137" t="s">
        <v>78</v>
      </c>
      <c r="BW3" s="141"/>
      <c r="BX3" s="142"/>
      <c r="BY3" s="225" t="s">
        <v>79</v>
      </c>
      <c r="BZ3" s="226"/>
      <c r="CA3" s="227"/>
      <c r="CB3" s="143"/>
      <c r="CC3" s="142"/>
      <c r="CD3" s="225" t="s">
        <v>79</v>
      </c>
      <c r="CE3" s="226"/>
      <c r="CF3" s="227"/>
      <c r="CG3" s="143"/>
      <c r="CH3" s="142"/>
      <c r="CI3" s="225" t="s">
        <v>80</v>
      </c>
      <c r="CJ3" s="226"/>
      <c r="CK3" s="227"/>
      <c r="CL3" s="143"/>
      <c r="CM3" s="142"/>
      <c r="CN3" s="225" t="s">
        <v>81</v>
      </c>
      <c r="CO3" s="226"/>
      <c r="CP3" s="227"/>
      <c r="CQ3" s="143"/>
      <c r="CR3" s="142"/>
      <c r="CS3" s="225" t="s">
        <v>82</v>
      </c>
      <c r="CT3" s="226"/>
      <c r="CU3" s="227"/>
      <c r="CV3" s="143"/>
      <c r="CW3" s="142"/>
      <c r="CX3" s="225" t="s">
        <v>76</v>
      </c>
      <c r="CY3" s="226"/>
      <c r="CZ3" s="227"/>
      <c r="DA3" s="143"/>
      <c r="DB3" s="142"/>
      <c r="DC3" s="225" t="s">
        <v>83</v>
      </c>
      <c r="DD3" s="226"/>
      <c r="DE3" s="227"/>
      <c r="DF3" s="143"/>
      <c r="DG3" s="142"/>
      <c r="DH3" s="225" t="s">
        <v>84</v>
      </c>
      <c r="DI3" s="226"/>
      <c r="DJ3" s="227"/>
      <c r="DK3" s="143"/>
      <c r="DL3" s="142"/>
      <c r="DM3" s="225" t="s">
        <v>85</v>
      </c>
      <c r="DN3" s="226"/>
      <c r="DO3" s="227"/>
      <c r="DP3" s="143"/>
      <c r="DQ3" s="142"/>
      <c r="DR3" s="225" t="s">
        <v>86</v>
      </c>
      <c r="DS3" s="226"/>
      <c r="DT3" s="227"/>
      <c r="DU3" s="143"/>
      <c r="DV3" s="142"/>
      <c r="DW3" s="225" t="s">
        <v>87</v>
      </c>
      <c r="DX3" s="226"/>
      <c r="DY3" s="227"/>
      <c r="DZ3" s="143"/>
      <c r="EA3" s="142"/>
      <c r="EB3" s="225" t="s">
        <v>88</v>
      </c>
      <c r="EC3" s="226"/>
      <c r="ED3" s="227"/>
      <c r="EE3" s="143"/>
      <c r="EF3" s="142"/>
      <c r="EG3" s="225" t="s">
        <v>89</v>
      </c>
      <c r="EH3" s="226"/>
      <c r="EI3" s="227"/>
      <c r="EJ3" s="143"/>
      <c r="EK3" s="142"/>
      <c r="EL3" s="225" t="s">
        <v>90</v>
      </c>
      <c r="EM3" s="226"/>
      <c r="EN3" s="227"/>
      <c r="EO3" s="143"/>
      <c r="EP3" s="142"/>
      <c r="EQ3" s="225" t="s">
        <v>91</v>
      </c>
      <c r="ER3" s="226"/>
      <c r="ES3" s="227"/>
    </row>
    <row r="4" spans="1:151" x14ac:dyDescent="0.25">
      <c r="A4" s="61" t="s">
        <v>92</v>
      </c>
      <c r="B4" s="118" t="s">
        <v>93</v>
      </c>
      <c r="C4" s="125" t="s">
        <v>94</v>
      </c>
      <c r="D4" s="39" t="s">
        <v>95</v>
      </c>
      <c r="E4" s="80" t="s">
        <v>96</v>
      </c>
      <c r="F4" s="98" t="s">
        <v>97</v>
      </c>
      <c r="G4" s="126" t="s">
        <v>4</v>
      </c>
      <c r="H4" s="127" t="s">
        <v>94</v>
      </c>
      <c r="I4" s="39" t="s">
        <v>95</v>
      </c>
      <c r="J4" s="80" t="s">
        <v>96</v>
      </c>
      <c r="K4" s="38" t="s">
        <v>97</v>
      </c>
      <c r="L4" s="102" t="s">
        <v>4</v>
      </c>
      <c r="M4" s="127" t="s">
        <v>94</v>
      </c>
      <c r="N4" s="39" t="s">
        <v>95</v>
      </c>
      <c r="O4" s="80" t="s">
        <v>96</v>
      </c>
      <c r="P4" s="38" t="s">
        <v>97</v>
      </c>
      <c r="Q4" s="102" t="s">
        <v>4</v>
      </c>
      <c r="R4" s="127" t="s">
        <v>94</v>
      </c>
      <c r="S4" s="39" t="s">
        <v>95</v>
      </c>
      <c r="T4" s="80" t="s">
        <v>96</v>
      </c>
      <c r="U4" s="38" t="s">
        <v>97</v>
      </c>
      <c r="V4" s="102" t="s">
        <v>4</v>
      </c>
      <c r="W4" s="89" t="s">
        <v>94</v>
      </c>
      <c r="X4" s="39" t="s">
        <v>95</v>
      </c>
      <c r="Y4" s="80" t="s">
        <v>96</v>
      </c>
      <c r="Z4" s="38" t="s">
        <v>97</v>
      </c>
      <c r="AA4" s="102" t="s">
        <v>4</v>
      </c>
      <c r="AB4" s="127" t="s">
        <v>94</v>
      </c>
      <c r="AC4" s="39" t="s">
        <v>95</v>
      </c>
      <c r="AD4" s="80" t="s">
        <v>96</v>
      </c>
      <c r="AE4" s="38" t="s">
        <v>97</v>
      </c>
      <c r="AF4" s="102" t="s">
        <v>4</v>
      </c>
      <c r="AG4" s="127" t="s">
        <v>94</v>
      </c>
      <c r="AH4" s="39" t="s">
        <v>95</v>
      </c>
      <c r="AI4" s="80" t="s">
        <v>96</v>
      </c>
      <c r="AJ4" s="38" t="s">
        <v>97</v>
      </c>
      <c r="AK4" s="102" t="s">
        <v>4</v>
      </c>
      <c r="AL4" s="89" t="s">
        <v>94</v>
      </c>
      <c r="AM4" s="39" t="s">
        <v>95</v>
      </c>
      <c r="AN4" s="80" t="s">
        <v>96</v>
      </c>
      <c r="AO4" s="38" t="s">
        <v>97</v>
      </c>
      <c r="AP4" s="102" t="s">
        <v>4</v>
      </c>
      <c r="AQ4" s="89" t="s">
        <v>94</v>
      </c>
      <c r="AR4" s="39" t="s">
        <v>95</v>
      </c>
      <c r="AS4" s="80" t="s">
        <v>96</v>
      </c>
      <c r="AT4" s="38" t="s">
        <v>97</v>
      </c>
      <c r="AU4" s="102" t="s">
        <v>4</v>
      </c>
      <c r="AV4" s="89" t="s">
        <v>94</v>
      </c>
      <c r="AW4" s="39" t="s">
        <v>95</v>
      </c>
      <c r="AX4" s="80" t="s">
        <v>96</v>
      </c>
      <c r="AY4" s="38" t="s">
        <v>97</v>
      </c>
      <c r="AZ4" s="102" t="s">
        <v>4</v>
      </c>
      <c r="BA4" s="89" t="s">
        <v>94</v>
      </c>
      <c r="BB4" s="39" t="s">
        <v>95</v>
      </c>
      <c r="BC4" s="80" t="s">
        <v>96</v>
      </c>
      <c r="BD4" s="38" t="s">
        <v>97</v>
      </c>
      <c r="BE4" s="102" t="s">
        <v>4</v>
      </c>
      <c r="BF4" s="89" t="s">
        <v>94</v>
      </c>
      <c r="BG4" s="39" t="s">
        <v>95</v>
      </c>
      <c r="BH4" s="80" t="s">
        <v>96</v>
      </c>
      <c r="BI4" s="38" t="s">
        <v>97</v>
      </c>
      <c r="BJ4" s="102" t="s">
        <v>4</v>
      </c>
      <c r="BK4" s="89" t="s">
        <v>94</v>
      </c>
      <c r="BL4" s="39" t="s">
        <v>95</v>
      </c>
      <c r="BM4" s="80" t="s">
        <v>96</v>
      </c>
      <c r="BN4" s="38" t="s">
        <v>97</v>
      </c>
      <c r="BO4" s="102" t="s">
        <v>4</v>
      </c>
      <c r="BP4" s="89" t="s">
        <v>94</v>
      </c>
      <c r="BQ4" s="39" t="s">
        <v>95</v>
      </c>
      <c r="BR4" s="80" t="s">
        <v>96</v>
      </c>
      <c r="BS4" s="38" t="s">
        <v>97</v>
      </c>
      <c r="BT4" s="102" t="s">
        <v>4</v>
      </c>
      <c r="BV4" s="144" t="s">
        <v>93</v>
      </c>
      <c r="BW4" s="145" t="s">
        <v>94</v>
      </c>
      <c r="BX4" s="146" t="s">
        <v>95</v>
      </c>
      <c r="BY4" s="147" t="s">
        <v>96</v>
      </c>
      <c r="BZ4" s="148" t="s">
        <v>97</v>
      </c>
      <c r="CA4" s="149" t="s">
        <v>4</v>
      </c>
      <c r="CB4" s="150" t="s">
        <v>94</v>
      </c>
      <c r="CC4" s="146" t="s">
        <v>95</v>
      </c>
      <c r="CD4" s="147" t="s">
        <v>96</v>
      </c>
      <c r="CE4" s="151" t="s">
        <v>97</v>
      </c>
      <c r="CF4" s="152" t="s">
        <v>4</v>
      </c>
      <c r="CG4" s="150" t="s">
        <v>94</v>
      </c>
      <c r="CH4" s="146" t="s">
        <v>95</v>
      </c>
      <c r="CI4" s="147" t="s">
        <v>96</v>
      </c>
      <c r="CJ4" s="151" t="s">
        <v>97</v>
      </c>
      <c r="CK4" s="152" t="s">
        <v>4</v>
      </c>
      <c r="CL4" s="150" t="s">
        <v>94</v>
      </c>
      <c r="CM4" s="146" t="s">
        <v>95</v>
      </c>
      <c r="CN4" s="147" t="s">
        <v>96</v>
      </c>
      <c r="CO4" s="151" t="s">
        <v>97</v>
      </c>
      <c r="CP4" s="152" t="s">
        <v>4</v>
      </c>
      <c r="CQ4" s="153" t="s">
        <v>94</v>
      </c>
      <c r="CR4" s="146" t="s">
        <v>95</v>
      </c>
      <c r="CS4" s="147" t="s">
        <v>96</v>
      </c>
      <c r="CT4" s="151" t="s">
        <v>97</v>
      </c>
      <c r="CU4" s="152" t="s">
        <v>4</v>
      </c>
      <c r="CV4" s="150" t="s">
        <v>94</v>
      </c>
      <c r="CW4" s="146" t="s">
        <v>95</v>
      </c>
      <c r="CX4" s="147" t="s">
        <v>96</v>
      </c>
      <c r="CY4" s="151" t="s">
        <v>97</v>
      </c>
      <c r="CZ4" s="152" t="s">
        <v>4</v>
      </c>
      <c r="DA4" s="150" t="s">
        <v>94</v>
      </c>
      <c r="DB4" s="146" t="s">
        <v>95</v>
      </c>
      <c r="DC4" s="147" t="s">
        <v>96</v>
      </c>
      <c r="DD4" s="151" t="s">
        <v>97</v>
      </c>
      <c r="DE4" s="152" t="s">
        <v>4</v>
      </c>
      <c r="DF4" s="153" t="s">
        <v>94</v>
      </c>
      <c r="DG4" s="146" t="s">
        <v>95</v>
      </c>
      <c r="DH4" s="147" t="s">
        <v>96</v>
      </c>
      <c r="DI4" s="151" t="s">
        <v>97</v>
      </c>
      <c r="DJ4" s="152" t="s">
        <v>4</v>
      </c>
      <c r="DK4" s="153" t="s">
        <v>94</v>
      </c>
      <c r="DL4" s="146" t="s">
        <v>95</v>
      </c>
      <c r="DM4" s="147" t="s">
        <v>96</v>
      </c>
      <c r="DN4" s="151" t="s">
        <v>97</v>
      </c>
      <c r="DO4" s="152" t="s">
        <v>4</v>
      </c>
      <c r="DP4" s="153" t="s">
        <v>94</v>
      </c>
      <c r="DQ4" s="146" t="s">
        <v>95</v>
      </c>
      <c r="DR4" s="147" t="s">
        <v>96</v>
      </c>
      <c r="DS4" s="151" t="s">
        <v>97</v>
      </c>
      <c r="DT4" s="152" t="s">
        <v>4</v>
      </c>
      <c r="DU4" s="153" t="s">
        <v>94</v>
      </c>
      <c r="DV4" s="146" t="s">
        <v>95</v>
      </c>
      <c r="DW4" s="147" t="s">
        <v>96</v>
      </c>
      <c r="DX4" s="151" t="s">
        <v>97</v>
      </c>
      <c r="DY4" s="152" t="s">
        <v>4</v>
      </c>
      <c r="DZ4" s="153" t="s">
        <v>94</v>
      </c>
      <c r="EA4" s="146" t="s">
        <v>95</v>
      </c>
      <c r="EB4" s="147" t="s">
        <v>96</v>
      </c>
      <c r="EC4" s="151" t="s">
        <v>97</v>
      </c>
      <c r="ED4" s="152" t="s">
        <v>4</v>
      </c>
      <c r="EE4" s="153" t="s">
        <v>94</v>
      </c>
      <c r="EF4" s="146" t="s">
        <v>95</v>
      </c>
      <c r="EG4" s="147" t="s">
        <v>96</v>
      </c>
      <c r="EH4" s="151" t="s">
        <v>97</v>
      </c>
      <c r="EI4" s="152" t="s">
        <v>4</v>
      </c>
      <c r="EJ4" s="153" t="s">
        <v>94</v>
      </c>
      <c r="EK4" s="146" t="s">
        <v>95</v>
      </c>
      <c r="EL4" s="147" t="s">
        <v>96</v>
      </c>
      <c r="EM4" s="151" t="s">
        <v>97</v>
      </c>
      <c r="EN4" s="152" t="s">
        <v>4</v>
      </c>
      <c r="EO4" s="153" t="s">
        <v>94</v>
      </c>
      <c r="EP4" s="146" t="s">
        <v>95</v>
      </c>
      <c r="EQ4" s="147" t="s">
        <v>96</v>
      </c>
      <c r="ER4" s="151" t="s">
        <v>97</v>
      </c>
      <c r="ES4" s="152" t="s">
        <v>4</v>
      </c>
    </row>
    <row r="5" spans="1:151" ht="45" customHeight="1" x14ac:dyDescent="0.25">
      <c r="A5" s="58" t="s">
        <v>5</v>
      </c>
      <c r="B5" s="198" t="s">
        <v>98</v>
      </c>
      <c r="C5" s="81"/>
      <c r="D5" s="81"/>
      <c r="E5" s="81"/>
      <c r="F5" s="17"/>
      <c r="G5" s="94"/>
      <c r="H5" s="103"/>
      <c r="I5" s="16"/>
      <c r="J5" s="81"/>
      <c r="K5" s="17"/>
      <c r="L5" s="94"/>
      <c r="M5" s="103"/>
      <c r="N5" s="16"/>
      <c r="O5" s="81"/>
      <c r="P5" s="17"/>
      <c r="Q5" s="94"/>
      <c r="R5" s="103"/>
      <c r="S5" s="16"/>
      <c r="T5" s="81"/>
      <c r="U5" s="17"/>
      <c r="V5" s="94"/>
      <c r="W5" s="103"/>
      <c r="X5" s="16"/>
      <c r="Y5" s="81"/>
      <c r="Z5" s="17"/>
      <c r="AA5" s="94"/>
      <c r="AB5" s="103"/>
      <c r="AC5" s="16"/>
      <c r="AD5" s="81"/>
      <c r="AE5" s="17"/>
      <c r="AF5" s="94"/>
      <c r="AG5" s="103"/>
      <c r="AH5" s="16"/>
      <c r="AI5" s="81"/>
      <c r="AJ5" s="17"/>
      <c r="AK5" s="94"/>
      <c r="AL5" s="90"/>
      <c r="AM5" s="16"/>
      <c r="AN5" s="81"/>
      <c r="AO5" s="17"/>
      <c r="AP5" s="99"/>
      <c r="AQ5" s="90"/>
      <c r="AR5" s="16"/>
      <c r="AS5" s="81"/>
      <c r="AT5" s="17"/>
      <c r="AU5" s="99"/>
      <c r="AV5" s="90"/>
      <c r="AW5" s="16"/>
      <c r="AX5" s="81"/>
      <c r="AY5" s="17"/>
      <c r="AZ5" s="99"/>
      <c r="BA5" s="90"/>
      <c r="BB5" s="16"/>
      <c r="BC5" s="81"/>
      <c r="BD5" s="17"/>
      <c r="BE5" s="99"/>
      <c r="BF5" s="90"/>
      <c r="BG5" s="16"/>
      <c r="BH5" s="81"/>
      <c r="BI5" s="17"/>
      <c r="BJ5" s="99"/>
      <c r="BK5" s="90"/>
      <c r="BL5" s="16"/>
      <c r="BM5" s="81"/>
      <c r="BN5" s="17"/>
      <c r="BO5" s="99"/>
      <c r="BP5" s="90"/>
      <c r="BQ5" s="16"/>
      <c r="BR5" s="81"/>
      <c r="BS5" s="17"/>
      <c r="BT5" s="99"/>
      <c r="BU5" s="55"/>
      <c r="BV5" s="106"/>
      <c r="BW5" s="90"/>
      <c r="BX5" s="16"/>
      <c r="BY5" s="81"/>
      <c r="BZ5" s="17"/>
      <c r="CA5" s="94"/>
      <c r="CB5" s="103"/>
      <c r="CC5" s="16"/>
      <c r="CD5" s="81"/>
      <c r="CE5" s="17"/>
      <c r="CF5" s="94"/>
      <c r="CG5" s="103"/>
      <c r="CH5" s="16"/>
      <c r="CI5" s="81"/>
      <c r="CJ5" s="17"/>
      <c r="CK5" s="94"/>
      <c r="CL5" s="103"/>
      <c r="CM5" s="16"/>
      <c r="CN5" s="81"/>
      <c r="CO5" s="17"/>
      <c r="CP5" s="94"/>
      <c r="CQ5" s="103"/>
      <c r="CR5" s="16"/>
      <c r="CS5" s="81"/>
      <c r="CT5" s="17"/>
      <c r="CU5" s="94"/>
      <c r="CV5" s="103"/>
      <c r="CW5" s="16"/>
      <c r="CX5" s="81"/>
      <c r="CY5" s="17"/>
      <c r="CZ5" s="94"/>
      <c r="DA5" s="103"/>
      <c r="DB5" s="16"/>
      <c r="DC5" s="81"/>
      <c r="DD5" s="17"/>
      <c r="DE5" s="94"/>
      <c r="DF5" s="90"/>
      <c r="DG5" s="16"/>
      <c r="DH5" s="81"/>
      <c r="DI5" s="17"/>
      <c r="DJ5" s="99"/>
      <c r="DK5" s="90"/>
      <c r="DL5" s="16"/>
      <c r="DM5" s="81"/>
      <c r="DN5" s="17"/>
      <c r="DO5" s="99"/>
      <c r="DP5" s="90"/>
      <c r="DQ5" s="16"/>
      <c r="DR5" s="81"/>
      <c r="DS5" s="17"/>
      <c r="DT5" s="99"/>
      <c r="DU5" s="90"/>
      <c r="DV5" s="16"/>
      <c r="DW5" s="81"/>
      <c r="DX5" s="17"/>
      <c r="DY5" s="99"/>
      <c r="DZ5" s="90"/>
      <c r="EA5" s="16"/>
      <c r="EB5" s="81"/>
      <c r="EC5" s="17"/>
      <c r="ED5" s="99"/>
      <c r="EE5" s="90"/>
      <c r="EF5" s="16"/>
      <c r="EG5" s="81"/>
      <c r="EH5" s="17"/>
      <c r="EI5" s="99"/>
      <c r="EJ5" s="90"/>
      <c r="EK5" s="16"/>
      <c r="EL5" s="81"/>
      <c r="EM5" s="17"/>
      <c r="EN5" s="99"/>
      <c r="EO5" s="90"/>
      <c r="EP5" s="16"/>
      <c r="EQ5" s="81"/>
      <c r="ER5" s="17"/>
      <c r="ES5" s="99"/>
      <c r="ET5" s="55"/>
      <c r="EU5" s="55"/>
    </row>
    <row r="6" spans="1:151" x14ac:dyDescent="0.25">
      <c r="A6" s="186" t="s">
        <v>99</v>
      </c>
      <c r="B6" s="107">
        <f>G6+L6+Q6+V6+AA6+AF6+AK6+AP6+AU6+AZ6+BE6+BJ6+BO6+BT6</f>
        <v>212789.96</v>
      </c>
      <c r="C6" s="190">
        <f>277554+10000</f>
        <v>287554</v>
      </c>
      <c r="D6" s="19">
        <v>1</v>
      </c>
      <c r="E6" s="57">
        <f t="shared" ref="E6:E7" si="0">SUM(C6*D6)</f>
        <v>287554</v>
      </c>
      <c r="F6" s="20">
        <v>0.26</v>
      </c>
      <c r="G6" s="95">
        <f t="shared" ref="G6:G14" si="1">E6-E6*F6</f>
        <v>212789.96</v>
      </c>
      <c r="H6" s="175">
        <v>237211</v>
      </c>
      <c r="I6" s="189">
        <v>0</v>
      </c>
      <c r="J6" s="57">
        <f>SUM(H6*I6)</f>
        <v>0</v>
      </c>
      <c r="K6" s="20">
        <v>0.26</v>
      </c>
      <c r="L6" s="95">
        <f t="shared" ref="L6:L14" si="2">J6-J6*K6</f>
        <v>0</v>
      </c>
      <c r="M6" s="120"/>
      <c r="N6" s="19"/>
      <c r="O6" s="57">
        <f t="shared" ref="O6:O14" si="3">SUM(M6*N6)</f>
        <v>0</v>
      </c>
      <c r="P6" s="20"/>
      <c r="Q6" s="95">
        <f t="shared" ref="Q6:Q14" si="4">O6-O6*P6</f>
        <v>0</v>
      </c>
      <c r="R6" s="120"/>
      <c r="S6" s="19"/>
      <c r="T6" s="57">
        <f t="shared" ref="T6:T14" si="5">SUM(R6*S6)</f>
        <v>0</v>
      </c>
      <c r="U6" s="20"/>
      <c r="V6" s="95">
        <f t="shared" ref="V6:V14" si="6">T6-T6*U6</f>
        <v>0</v>
      </c>
      <c r="W6" s="120"/>
      <c r="X6" s="19"/>
      <c r="Y6" s="57">
        <f t="shared" ref="Y6:Y14" si="7">SUM(W6*X6)</f>
        <v>0</v>
      </c>
      <c r="Z6" s="20"/>
      <c r="AA6" s="95">
        <f t="shared" ref="AA6:AA14" si="8">Y6-Y6*Z6</f>
        <v>0</v>
      </c>
      <c r="AB6" s="120"/>
      <c r="AC6" s="19"/>
      <c r="AD6" s="57">
        <f t="shared" ref="AD6:AD14" si="9">SUM(AB6*AC6)</f>
        <v>0</v>
      </c>
      <c r="AE6" s="20"/>
      <c r="AF6" s="95">
        <f t="shared" ref="AF6:AF14" si="10">AD6-AD6*AE6</f>
        <v>0</v>
      </c>
      <c r="AG6" s="120"/>
      <c r="AH6" s="19"/>
      <c r="AI6" s="57">
        <f t="shared" ref="AI6:AI14" si="11">SUM(AG6*AH6)</f>
        <v>0</v>
      </c>
      <c r="AJ6" s="20"/>
      <c r="AK6" s="95">
        <f t="shared" ref="AK6:AK14" si="12">AI6-AI6*AJ6</f>
        <v>0</v>
      </c>
      <c r="AL6" s="91"/>
      <c r="AM6" s="19"/>
      <c r="AN6" s="57">
        <f t="shared" ref="AN6:AN14" si="13">SUM(AL6*AM6)</f>
        <v>0</v>
      </c>
      <c r="AO6" s="20"/>
      <c r="AP6" s="100">
        <f t="shared" ref="AP6:AP14" si="14">AN6-AN6*AO6</f>
        <v>0</v>
      </c>
      <c r="AQ6" s="91"/>
      <c r="AR6" s="19"/>
      <c r="AS6" s="57">
        <f t="shared" ref="AS6:AS14" si="15">SUM(AQ6*AR6)</f>
        <v>0</v>
      </c>
      <c r="AT6" s="20"/>
      <c r="AU6" s="100">
        <f t="shared" ref="AU6:AU14" si="16">AS6-AS6*AT6</f>
        <v>0</v>
      </c>
      <c r="AV6" s="91"/>
      <c r="AW6" s="19"/>
      <c r="AX6" s="57">
        <f t="shared" ref="AX6:AX14" si="17">SUM(AV6*AW6)</f>
        <v>0</v>
      </c>
      <c r="AY6" s="20"/>
      <c r="AZ6" s="100">
        <f t="shared" ref="AZ6:AZ14" si="18">AX6-AX6*AY6</f>
        <v>0</v>
      </c>
      <c r="BA6" s="91"/>
      <c r="BB6" s="19"/>
      <c r="BC6" s="57">
        <f t="shared" ref="BC6:BC14" si="19">SUM(BA6*BB6)</f>
        <v>0</v>
      </c>
      <c r="BD6" s="20"/>
      <c r="BE6" s="100">
        <f t="shared" ref="BE6:BE14" si="20">BC6-BC6*BD6</f>
        <v>0</v>
      </c>
      <c r="BF6" s="91"/>
      <c r="BG6" s="19"/>
      <c r="BH6" s="57">
        <f t="shared" ref="BH6:BH14" si="21">SUM(BF6*BG6)</f>
        <v>0</v>
      </c>
      <c r="BI6" s="20"/>
      <c r="BJ6" s="100">
        <f t="shared" ref="BJ6:BJ14" si="22">BH6-BH6*BI6</f>
        <v>0</v>
      </c>
      <c r="BK6" s="91"/>
      <c r="BL6" s="19"/>
      <c r="BM6" s="57">
        <f t="shared" ref="BM6:BM14" si="23">SUM(BK6*BL6)</f>
        <v>0</v>
      </c>
      <c r="BN6" s="20"/>
      <c r="BO6" s="100">
        <f t="shared" ref="BO6:BO14" si="24">BM6-BM6*BN6</f>
        <v>0</v>
      </c>
      <c r="BP6" s="91"/>
      <c r="BQ6" s="19"/>
      <c r="BR6" s="57">
        <f t="shared" ref="BR6:BR14" si="25">SUM(BP6*BQ6)</f>
        <v>0</v>
      </c>
      <c r="BS6" s="20"/>
      <c r="BT6" s="100">
        <f t="shared" ref="BT6:BT14" si="26">BR6-BR6*BS6</f>
        <v>0</v>
      </c>
      <c r="BU6" s="55"/>
      <c r="BV6" s="107">
        <f>CA6+CF6+CK6+CP6+CU6+CZ6+DE6+DJ6+DO6+DT6+DY6+ED6+EI6+EN6+ES6</f>
        <v>0</v>
      </c>
      <c r="BW6" s="91"/>
      <c r="BX6" s="19"/>
      <c r="BY6" s="57">
        <f t="shared" ref="BY6:BY14" si="27">SUM(BW6*BX6)</f>
        <v>0</v>
      </c>
      <c r="BZ6" s="20"/>
      <c r="CA6" s="95">
        <f t="shared" ref="CA6:CA14" si="28">BY6-BY6*BZ6</f>
        <v>0</v>
      </c>
      <c r="CB6" s="120"/>
      <c r="CC6" s="19"/>
      <c r="CD6" s="57">
        <f t="shared" ref="CD6:CD14" si="29">SUM(CB6*CC6)</f>
        <v>0</v>
      </c>
      <c r="CE6" s="20"/>
      <c r="CF6" s="95">
        <f t="shared" ref="CF6:CF14" si="30">CD6-CD6*CE6</f>
        <v>0</v>
      </c>
      <c r="CG6" s="120"/>
      <c r="CH6" s="19"/>
      <c r="CI6" s="57">
        <f t="shared" ref="CI6:CI14" si="31">SUM(CG6*CH6)</f>
        <v>0</v>
      </c>
      <c r="CJ6" s="20"/>
      <c r="CK6" s="95">
        <f t="shared" ref="CK6:CK14" si="32">CI6-CI6*CJ6</f>
        <v>0</v>
      </c>
      <c r="CL6" s="120"/>
      <c r="CM6" s="19"/>
      <c r="CN6" s="57">
        <f t="shared" ref="CN6:CN14" si="33">SUM(CL6*CM6)</f>
        <v>0</v>
      </c>
      <c r="CO6" s="20"/>
      <c r="CP6" s="95">
        <f t="shared" ref="CP6:CP14" si="34">CN6-CN6*CO6</f>
        <v>0</v>
      </c>
      <c r="CQ6" s="120"/>
      <c r="CR6" s="19"/>
      <c r="CS6" s="57">
        <f t="shared" ref="CS6:CS14" si="35">SUM(CQ6*CR6)</f>
        <v>0</v>
      </c>
      <c r="CT6" s="20"/>
      <c r="CU6" s="95">
        <f t="shared" ref="CU6:CU14" si="36">CS6-CS6*CT6</f>
        <v>0</v>
      </c>
      <c r="CV6" s="120"/>
      <c r="CW6" s="19"/>
      <c r="CX6" s="57">
        <f t="shared" ref="CX6:CX14" si="37">SUM(CV6*CW6)</f>
        <v>0</v>
      </c>
      <c r="CY6" s="20"/>
      <c r="CZ6" s="95">
        <f t="shared" ref="CZ6:CZ14" si="38">CX6-CX6*CY6</f>
        <v>0</v>
      </c>
      <c r="DA6" s="120"/>
      <c r="DB6" s="19"/>
      <c r="DC6" s="57">
        <f t="shared" ref="DC6:DC14" si="39">SUM(DA6*DB6)</f>
        <v>0</v>
      </c>
      <c r="DD6" s="20"/>
      <c r="DE6" s="95">
        <f t="shared" ref="DE6:DE14" si="40">DC6-DC6*DD6</f>
        <v>0</v>
      </c>
      <c r="DF6" s="91"/>
      <c r="DG6" s="19"/>
      <c r="DH6" s="57">
        <f t="shared" ref="DH6:DH14" si="41">SUM(DF6*DG6)</f>
        <v>0</v>
      </c>
      <c r="DI6" s="20"/>
      <c r="DJ6" s="100">
        <f t="shared" ref="DJ6:DJ14" si="42">DH6-DH6*DI6</f>
        <v>0</v>
      </c>
      <c r="DK6" s="91"/>
      <c r="DL6" s="19"/>
      <c r="DM6" s="57">
        <f t="shared" ref="DM6:DM14" si="43">SUM(DK6*DL6)</f>
        <v>0</v>
      </c>
      <c r="DN6" s="20"/>
      <c r="DO6" s="100">
        <f t="shared" ref="DO6:DO14" si="44">DM6-DM6*DN6</f>
        <v>0</v>
      </c>
      <c r="DP6" s="91"/>
      <c r="DQ6" s="19"/>
      <c r="DR6" s="57">
        <f t="shared" ref="DR6:DR14" si="45">SUM(DP6*DQ6)</f>
        <v>0</v>
      </c>
      <c r="DS6" s="20"/>
      <c r="DT6" s="100">
        <f t="shared" ref="DT6:DT14" si="46">DR6-DR6*DS6</f>
        <v>0</v>
      </c>
      <c r="DU6" s="91"/>
      <c r="DV6" s="19"/>
      <c r="DW6" s="57">
        <f t="shared" ref="DW6:DW14" si="47">SUM(DU6*DV6)</f>
        <v>0</v>
      </c>
      <c r="DX6" s="20"/>
      <c r="DY6" s="100">
        <f t="shared" ref="DY6:DY14" si="48">DW6-DW6*DX6</f>
        <v>0</v>
      </c>
      <c r="DZ6" s="91"/>
      <c r="EA6" s="19"/>
      <c r="EB6" s="57">
        <f t="shared" ref="EB6:EB14" si="49">SUM(DZ6*EA6)</f>
        <v>0</v>
      </c>
      <c r="EC6" s="20"/>
      <c r="ED6" s="100">
        <f t="shared" ref="ED6:ED14" si="50">EB6-EB6*EC6</f>
        <v>0</v>
      </c>
      <c r="EE6" s="91"/>
      <c r="EF6" s="19"/>
      <c r="EG6" s="57">
        <f t="shared" ref="EG6:EG14" si="51">SUM(EE6*EF6)</f>
        <v>0</v>
      </c>
      <c r="EH6" s="20"/>
      <c r="EI6" s="100">
        <f t="shared" ref="EI6:EI14" si="52">EG6-EG6*EH6</f>
        <v>0</v>
      </c>
      <c r="EJ6" s="91"/>
      <c r="EK6" s="19"/>
      <c r="EL6" s="57">
        <f t="shared" ref="EL6:EL14" si="53">SUM(EJ6*EK6)</f>
        <v>0</v>
      </c>
      <c r="EM6" s="20"/>
      <c r="EN6" s="100">
        <f t="shared" ref="EN6:EN14" si="54">EL6-EL6*EM6</f>
        <v>0</v>
      </c>
      <c r="EO6" s="91"/>
      <c r="EP6" s="19"/>
      <c r="EQ6" s="57">
        <f t="shared" ref="EQ6:EQ14" si="55">SUM(EO6*EP6)</f>
        <v>0</v>
      </c>
      <c r="ER6" s="20"/>
      <c r="ES6" s="100">
        <f t="shared" ref="ES6:ES14" si="56">EQ6-EQ6*ER6</f>
        <v>0</v>
      </c>
      <c r="ET6" s="55"/>
      <c r="EU6" s="55"/>
    </row>
    <row r="7" spans="1:151" x14ac:dyDescent="0.25">
      <c r="A7" s="186" t="s">
        <v>100</v>
      </c>
      <c r="B7" s="107">
        <f t="shared" ref="B7:B14" si="57">G7+L7+Q7+V7+AA7+AF7+AK7+AP7+AU7+AZ7+BE7+BJ7+BO7+BT7</f>
        <v>731966.56</v>
      </c>
      <c r="C7" s="190">
        <f>2403844-1414700</f>
        <v>989144</v>
      </c>
      <c r="D7" s="19">
        <v>1</v>
      </c>
      <c r="E7" s="57">
        <f t="shared" si="0"/>
        <v>989144</v>
      </c>
      <c r="F7" s="20">
        <v>0.26</v>
      </c>
      <c r="G7" s="95">
        <f t="shared" si="1"/>
        <v>731966.56</v>
      </c>
      <c r="H7" s="175">
        <v>50000</v>
      </c>
      <c r="I7" s="189">
        <v>0</v>
      </c>
      <c r="J7" s="57">
        <f t="shared" ref="J7" si="58">SUM(H7*I7)</f>
        <v>0</v>
      </c>
      <c r="K7" s="20">
        <v>0.26</v>
      </c>
      <c r="L7" s="95">
        <f t="shared" si="2"/>
        <v>0</v>
      </c>
      <c r="M7" s="120"/>
      <c r="N7" s="19"/>
      <c r="O7" s="57">
        <f t="shared" si="3"/>
        <v>0</v>
      </c>
      <c r="P7" s="20"/>
      <c r="Q7" s="95">
        <f t="shared" si="4"/>
        <v>0</v>
      </c>
      <c r="R7" s="120"/>
      <c r="S7" s="19"/>
      <c r="T7" s="57">
        <f t="shared" si="5"/>
        <v>0</v>
      </c>
      <c r="U7" s="20"/>
      <c r="V7" s="95">
        <f t="shared" si="6"/>
        <v>0</v>
      </c>
      <c r="W7" s="120"/>
      <c r="X7" s="19"/>
      <c r="Y7" s="57">
        <f t="shared" si="7"/>
        <v>0</v>
      </c>
      <c r="Z7" s="20"/>
      <c r="AA7" s="95">
        <f t="shared" si="8"/>
        <v>0</v>
      </c>
      <c r="AB7" s="120"/>
      <c r="AC7" s="19"/>
      <c r="AD7" s="57">
        <f t="shared" si="9"/>
        <v>0</v>
      </c>
      <c r="AE7" s="20"/>
      <c r="AF7" s="95">
        <f t="shared" si="10"/>
        <v>0</v>
      </c>
      <c r="AG7" s="120"/>
      <c r="AH7" s="19"/>
      <c r="AI7" s="57">
        <f t="shared" si="11"/>
        <v>0</v>
      </c>
      <c r="AJ7" s="20"/>
      <c r="AK7" s="95">
        <f t="shared" si="12"/>
        <v>0</v>
      </c>
      <c r="AL7" s="91"/>
      <c r="AM7" s="19"/>
      <c r="AN7" s="57">
        <f t="shared" si="13"/>
        <v>0</v>
      </c>
      <c r="AO7" s="20"/>
      <c r="AP7" s="100">
        <f t="shared" si="14"/>
        <v>0</v>
      </c>
      <c r="AQ7" s="91"/>
      <c r="AR7" s="19"/>
      <c r="AS7" s="57">
        <f t="shared" si="15"/>
        <v>0</v>
      </c>
      <c r="AT7" s="20"/>
      <c r="AU7" s="100">
        <f t="shared" si="16"/>
        <v>0</v>
      </c>
      <c r="AV7" s="91"/>
      <c r="AW7" s="19"/>
      <c r="AX7" s="57">
        <f t="shared" si="17"/>
        <v>0</v>
      </c>
      <c r="AY7" s="20"/>
      <c r="AZ7" s="100">
        <f t="shared" si="18"/>
        <v>0</v>
      </c>
      <c r="BA7" s="91"/>
      <c r="BB7" s="19"/>
      <c r="BC7" s="57">
        <f t="shared" si="19"/>
        <v>0</v>
      </c>
      <c r="BD7" s="20"/>
      <c r="BE7" s="100">
        <f t="shared" si="20"/>
        <v>0</v>
      </c>
      <c r="BF7" s="91"/>
      <c r="BG7" s="19"/>
      <c r="BH7" s="57">
        <f t="shared" si="21"/>
        <v>0</v>
      </c>
      <c r="BI7" s="20"/>
      <c r="BJ7" s="100">
        <f t="shared" si="22"/>
        <v>0</v>
      </c>
      <c r="BK7" s="91"/>
      <c r="BL7" s="19"/>
      <c r="BM7" s="57">
        <f t="shared" si="23"/>
        <v>0</v>
      </c>
      <c r="BN7" s="20"/>
      <c r="BO7" s="100">
        <f t="shared" si="24"/>
        <v>0</v>
      </c>
      <c r="BP7" s="91"/>
      <c r="BQ7" s="19"/>
      <c r="BR7" s="57">
        <f t="shared" si="25"/>
        <v>0</v>
      </c>
      <c r="BS7" s="20"/>
      <c r="BT7" s="100">
        <f t="shared" si="26"/>
        <v>0</v>
      </c>
      <c r="BU7" s="55"/>
      <c r="BV7" s="107">
        <f t="shared" ref="BV7:BV14" si="59">CA7+CF7+CK7+CP7+CU7+CZ7+DE7+DJ7+DO7+DT7+DY7+ED7+EI7+EN7+ES7</f>
        <v>0</v>
      </c>
      <c r="BW7" s="91"/>
      <c r="BX7" s="19"/>
      <c r="BY7" s="57">
        <f t="shared" si="27"/>
        <v>0</v>
      </c>
      <c r="BZ7" s="20"/>
      <c r="CA7" s="95">
        <f t="shared" si="28"/>
        <v>0</v>
      </c>
      <c r="CB7" s="120"/>
      <c r="CC7" s="19"/>
      <c r="CD7" s="57">
        <f t="shared" si="29"/>
        <v>0</v>
      </c>
      <c r="CE7" s="20"/>
      <c r="CF7" s="95">
        <f t="shared" si="30"/>
        <v>0</v>
      </c>
      <c r="CG7" s="120"/>
      <c r="CH7" s="19"/>
      <c r="CI7" s="57">
        <f t="shared" si="31"/>
        <v>0</v>
      </c>
      <c r="CJ7" s="20"/>
      <c r="CK7" s="95">
        <f t="shared" si="32"/>
        <v>0</v>
      </c>
      <c r="CL7" s="120"/>
      <c r="CM7" s="19"/>
      <c r="CN7" s="57">
        <f t="shared" si="33"/>
        <v>0</v>
      </c>
      <c r="CO7" s="20"/>
      <c r="CP7" s="95">
        <f t="shared" si="34"/>
        <v>0</v>
      </c>
      <c r="CQ7" s="120"/>
      <c r="CR7" s="19"/>
      <c r="CS7" s="57">
        <f t="shared" si="35"/>
        <v>0</v>
      </c>
      <c r="CT7" s="20"/>
      <c r="CU7" s="95">
        <f t="shared" si="36"/>
        <v>0</v>
      </c>
      <c r="CV7" s="120"/>
      <c r="CW7" s="19"/>
      <c r="CX7" s="57">
        <f t="shared" si="37"/>
        <v>0</v>
      </c>
      <c r="CY7" s="20"/>
      <c r="CZ7" s="95">
        <f t="shared" si="38"/>
        <v>0</v>
      </c>
      <c r="DA7" s="120"/>
      <c r="DB7" s="19"/>
      <c r="DC7" s="57">
        <f t="shared" si="39"/>
        <v>0</v>
      </c>
      <c r="DD7" s="20"/>
      <c r="DE7" s="95">
        <f t="shared" si="40"/>
        <v>0</v>
      </c>
      <c r="DF7" s="91"/>
      <c r="DG7" s="19"/>
      <c r="DH7" s="57">
        <f t="shared" si="41"/>
        <v>0</v>
      </c>
      <c r="DI7" s="20"/>
      <c r="DJ7" s="100">
        <f t="shared" si="42"/>
        <v>0</v>
      </c>
      <c r="DK7" s="91"/>
      <c r="DL7" s="19"/>
      <c r="DM7" s="57">
        <f t="shared" si="43"/>
        <v>0</v>
      </c>
      <c r="DN7" s="20"/>
      <c r="DO7" s="100">
        <f t="shared" si="44"/>
        <v>0</v>
      </c>
      <c r="DP7" s="91"/>
      <c r="DQ7" s="19"/>
      <c r="DR7" s="57">
        <f t="shared" si="45"/>
        <v>0</v>
      </c>
      <c r="DS7" s="20"/>
      <c r="DT7" s="100">
        <f t="shared" si="46"/>
        <v>0</v>
      </c>
      <c r="DU7" s="91"/>
      <c r="DV7" s="19"/>
      <c r="DW7" s="57">
        <f t="shared" si="47"/>
        <v>0</v>
      </c>
      <c r="DX7" s="20"/>
      <c r="DY7" s="100">
        <f t="shared" si="48"/>
        <v>0</v>
      </c>
      <c r="DZ7" s="91"/>
      <c r="EA7" s="19"/>
      <c r="EB7" s="57">
        <f t="shared" si="49"/>
        <v>0</v>
      </c>
      <c r="EC7" s="20"/>
      <c r="ED7" s="100">
        <f t="shared" si="50"/>
        <v>0</v>
      </c>
      <c r="EE7" s="91"/>
      <c r="EF7" s="19"/>
      <c r="EG7" s="57">
        <f t="shared" si="51"/>
        <v>0</v>
      </c>
      <c r="EH7" s="20"/>
      <c r="EI7" s="100">
        <f t="shared" si="52"/>
        <v>0</v>
      </c>
      <c r="EJ7" s="91"/>
      <c r="EK7" s="19"/>
      <c r="EL7" s="57">
        <f t="shared" si="53"/>
        <v>0</v>
      </c>
      <c r="EM7" s="20"/>
      <c r="EN7" s="100">
        <f t="shared" si="54"/>
        <v>0</v>
      </c>
      <c r="EO7" s="91"/>
      <c r="EP7" s="19"/>
      <c r="EQ7" s="57">
        <f t="shared" si="55"/>
        <v>0</v>
      </c>
      <c r="ER7" s="20"/>
      <c r="ES7" s="100">
        <f t="shared" si="56"/>
        <v>0</v>
      </c>
      <c r="ET7" s="55"/>
      <c r="EU7" s="55"/>
    </row>
    <row r="8" spans="1:151" x14ac:dyDescent="0.25">
      <c r="A8" s="177" t="s">
        <v>101</v>
      </c>
      <c r="B8" s="107">
        <f t="shared" ref="B8:B10" si="60">G8+L8+Q8+V8+AA8+AF8+AK8+AP8+AU8+AZ8+BE8+BJ8+BO8+BT8</f>
        <v>333000</v>
      </c>
      <c r="C8" s="190">
        <v>75000</v>
      </c>
      <c r="D8" s="189">
        <v>6</v>
      </c>
      <c r="E8" s="57">
        <f t="shared" ref="E8" si="61">SUM(C8*D8)</f>
        <v>450000</v>
      </c>
      <c r="F8" s="20">
        <v>0.26</v>
      </c>
      <c r="G8" s="95">
        <f t="shared" ref="G8:G10" si="62">E8-E8*F8</f>
        <v>333000</v>
      </c>
      <c r="H8" s="175">
        <v>50000</v>
      </c>
      <c r="I8" s="189">
        <v>0</v>
      </c>
      <c r="J8" s="57">
        <f t="shared" ref="J8:J10" si="63">SUM(H8*I8)</f>
        <v>0</v>
      </c>
      <c r="K8" s="20">
        <v>0.26</v>
      </c>
      <c r="L8" s="95">
        <f t="shared" ref="L8:L10" si="64">J8-J8*K8</f>
        <v>0</v>
      </c>
      <c r="M8" s="120"/>
      <c r="N8" s="19"/>
      <c r="O8" s="57">
        <f t="shared" si="3"/>
        <v>0</v>
      </c>
      <c r="P8" s="20"/>
      <c r="Q8" s="95">
        <f t="shared" si="4"/>
        <v>0</v>
      </c>
      <c r="R8" s="120"/>
      <c r="S8" s="19"/>
      <c r="T8" s="57">
        <f t="shared" si="5"/>
        <v>0</v>
      </c>
      <c r="U8" s="20"/>
      <c r="V8" s="95">
        <f t="shared" si="6"/>
        <v>0</v>
      </c>
      <c r="W8" s="120"/>
      <c r="X8" s="19"/>
      <c r="Y8" s="57">
        <f t="shared" si="7"/>
        <v>0</v>
      </c>
      <c r="Z8" s="20"/>
      <c r="AA8" s="95">
        <f t="shared" si="8"/>
        <v>0</v>
      </c>
      <c r="AB8" s="120"/>
      <c r="AC8" s="19"/>
      <c r="AD8" s="57">
        <f t="shared" si="9"/>
        <v>0</v>
      </c>
      <c r="AE8" s="20"/>
      <c r="AF8" s="95">
        <f t="shared" si="10"/>
        <v>0</v>
      </c>
      <c r="AG8" s="120"/>
      <c r="AH8" s="19"/>
      <c r="AI8" s="57">
        <f t="shared" si="11"/>
        <v>0</v>
      </c>
      <c r="AJ8" s="20"/>
      <c r="AK8" s="95">
        <f t="shared" si="12"/>
        <v>0</v>
      </c>
      <c r="AL8" s="91"/>
      <c r="AM8" s="19"/>
      <c r="AN8" s="57">
        <f t="shared" si="13"/>
        <v>0</v>
      </c>
      <c r="AO8" s="20"/>
      <c r="AP8" s="100">
        <f t="shared" si="14"/>
        <v>0</v>
      </c>
      <c r="AQ8" s="91"/>
      <c r="AR8" s="19"/>
      <c r="AS8" s="57">
        <f t="shared" si="15"/>
        <v>0</v>
      </c>
      <c r="AT8" s="20"/>
      <c r="AU8" s="100">
        <f t="shared" si="16"/>
        <v>0</v>
      </c>
      <c r="AV8" s="91"/>
      <c r="AW8" s="19"/>
      <c r="AX8" s="57">
        <f t="shared" si="17"/>
        <v>0</v>
      </c>
      <c r="AY8" s="20"/>
      <c r="AZ8" s="100">
        <f t="shared" si="18"/>
        <v>0</v>
      </c>
      <c r="BA8" s="91"/>
      <c r="BB8" s="19"/>
      <c r="BC8" s="57">
        <f t="shared" si="19"/>
        <v>0</v>
      </c>
      <c r="BD8" s="20"/>
      <c r="BE8" s="100">
        <f t="shared" si="20"/>
        <v>0</v>
      </c>
      <c r="BF8" s="91"/>
      <c r="BG8" s="19"/>
      <c r="BH8" s="57">
        <f t="shared" si="21"/>
        <v>0</v>
      </c>
      <c r="BI8" s="20"/>
      <c r="BJ8" s="100">
        <f t="shared" si="22"/>
        <v>0</v>
      </c>
      <c r="BK8" s="91"/>
      <c r="BL8" s="19"/>
      <c r="BM8" s="57">
        <f t="shared" si="23"/>
        <v>0</v>
      </c>
      <c r="BN8" s="20"/>
      <c r="BO8" s="100">
        <f t="shared" si="24"/>
        <v>0</v>
      </c>
      <c r="BP8" s="91"/>
      <c r="BQ8" s="19"/>
      <c r="BR8" s="57">
        <f t="shared" si="25"/>
        <v>0</v>
      </c>
      <c r="BS8" s="20"/>
      <c r="BT8" s="100">
        <f t="shared" si="26"/>
        <v>0</v>
      </c>
      <c r="BU8" s="55"/>
      <c r="BV8" s="107">
        <f t="shared" si="59"/>
        <v>0</v>
      </c>
      <c r="BW8" s="91"/>
      <c r="BX8" s="19"/>
      <c r="BY8" s="57">
        <f t="shared" si="27"/>
        <v>0</v>
      </c>
      <c r="BZ8" s="20"/>
      <c r="CA8" s="95">
        <f t="shared" si="28"/>
        <v>0</v>
      </c>
      <c r="CB8" s="120"/>
      <c r="CC8" s="19"/>
      <c r="CD8" s="57">
        <f t="shared" si="29"/>
        <v>0</v>
      </c>
      <c r="CE8" s="20"/>
      <c r="CF8" s="95">
        <f t="shared" si="30"/>
        <v>0</v>
      </c>
      <c r="CG8" s="120"/>
      <c r="CH8" s="19"/>
      <c r="CI8" s="57">
        <f t="shared" si="31"/>
        <v>0</v>
      </c>
      <c r="CJ8" s="20"/>
      <c r="CK8" s="95">
        <f t="shared" si="32"/>
        <v>0</v>
      </c>
      <c r="CL8" s="120"/>
      <c r="CM8" s="19"/>
      <c r="CN8" s="57">
        <f t="shared" si="33"/>
        <v>0</v>
      </c>
      <c r="CO8" s="20"/>
      <c r="CP8" s="95">
        <f t="shared" si="34"/>
        <v>0</v>
      </c>
      <c r="CQ8" s="120"/>
      <c r="CR8" s="19"/>
      <c r="CS8" s="57">
        <f t="shared" si="35"/>
        <v>0</v>
      </c>
      <c r="CT8" s="20"/>
      <c r="CU8" s="95">
        <f t="shared" si="36"/>
        <v>0</v>
      </c>
      <c r="CV8" s="120"/>
      <c r="CW8" s="19"/>
      <c r="CX8" s="57">
        <f t="shared" si="37"/>
        <v>0</v>
      </c>
      <c r="CY8" s="20"/>
      <c r="CZ8" s="95">
        <f t="shared" si="38"/>
        <v>0</v>
      </c>
      <c r="DA8" s="120"/>
      <c r="DB8" s="19"/>
      <c r="DC8" s="57">
        <f t="shared" si="39"/>
        <v>0</v>
      </c>
      <c r="DD8" s="20"/>
      <c r="DE8" s="95">
        <f t="shared" si="40"/>
        <v>0</v>
      </c>
      <c r="DF8" s="91"/>
      <c r="DG8" s="19"/>
      <c r="DH8" s="57">
        <f t="shared" si="41"/>
        <v>0</v>
      </c>
      <c r="DI8" s="20"/>
      <c r="DJ8" s="100">
        <f t="shared" si="42"/>
        <v>0</v>
      </c>
      <c r="DK8" s="91"/>
      <c r="DL8" s="19"/>
      <c r="DM8" s="57">
        <f t="shared" si="43"/>
        <v>0</v>
      </c>
      <c r="DN8" s="20"/>
      <c r="DO8" s="100">
        <f t="shared" si="44"/>
        <v>0</v>
      </c>
      <c r="DP8" s="91"/>
      <c r="DQ8" s="19"/>
      <c r="DR8" s="57">
        <f t="shared" si="45"/>
        <v>0</v>
      </c>
      <c r="DS8" s="20"/>
      <c r="DT8" s="100">
        <f t="shared" si="46"/>
        <v>0</v>
      </c>
      <c r="DU8" s="91"/>
      <c r="DV8" s="19"/>
      <c r="DW8" s="57">
        <f t="shared" si="47"/>
        <v>0</v>
      </c>
      <c r="DX8" s="20"/>
      <c r="DY8" s="100">
        <f t="shared" si="48"/>
        <v>0</v>
      </c>
      <c r="DZ8" s="91"/>
      <c r="EA8" s="19"/>
      <c r="EB8" s="57">
        <f t="shared" si="49"/>
        <v>0</v>
      </c>
      <c r="EC8" s="20"/>
      <c r="ED8" s="100">
        <f t="shared" si="50"/>
        <v>0</v>
      </c>
      <c r="EE8" s="91"/>
      <c r="EF8" s="19"/>
      <c r="EG8" s="57">
        <f t="shared" si="51"/>
        <v>0</v>
      </c>
      <c r="EH8" s="20"/>
      <c r="EI8" s="100">
        <f t="shared" si="52"/>
        <v>0</v>
      </c>
      <c r="EJ8" s="91"/>
      <c r="EK8" s="19"/>
      <c r="EL8" s="57">
        <f t="shared" si="53"/>
        <v>0</v>
      </c>
      <c r="EM8" s="20"/>
      <c r="EN8" s="100">
        <f t="shared" si="54"/>
        <v>0</v>
      </c>
      <c r="EO8" s="91"/>
      <c r="EP8" s="19"/>
      <c r="EQ8" s="57">
        <f t="shared" si="55"/>
        <v>0</v>
      </c>
      <c r="ER8" s="20"/>
      <c r="ES8" s="100">
        <f t="shared" si="56"/>
        <v>0</v>
      </c>
      <c r="ET8" s="55"/>
      <c r="EU8" s="55"/>
    </row>
    <row r="9" spans="1:151" x14ac:dyDescent="0.25">
      <c r="A9" s="177" t="s">
        <v>102</v>
      </c>
      <c r="B9" s="107">
        <f t="shared" si="60"/>
        <v>0</v>
      </c>
      <c r="C9" s="175">
        <v>1425000</v>
      </c>
      <c r="D9" s="189">
        <v>0</v>
      </c>
      <c r="E9" s="57">
        <f>SUM(C9*D9)</f>
        <v>0</v>
      </c>
      <c r="F9" s="20">
        <v>0.26</v>
      </c>
      <c r="G9" s="95">
        <f t="shared" si="62"/>
        <v>0</v>
      </c>
      <c r="H9" s="120"/>
      <c r="I9" s="19"/>
      <c r="J9" s="57">
        <f t="shared" si="63"/>
        <v>0</v>
      </c>
      <c r="K9" s="20"/>
      <c r="L9" s="95">
        <f t="shared" si="64"/>
        <v>0</v>
      </c>
      <c r="M9" s="120"/>
      <c r="N9" s="19"/>
      <c r="O9" s="57">
        <f t="shared" si="3"/>
        <v>0</v>
      </c>
      <c r="P9" s="20"/>
      <c r="Q9" s="95">
        <f t="shared" si="4"/>
        <v>0</v>
      </c>
      <c r="R9" s="120"/>
      <c r="S9" s="19"/>
      <c r="T9" s="57">
        <f t="shared" si="5"/>
        <v>0</v>
      </c>
      <c r="U9" s="20"/>
      <c r="V9" s="95">
        <f t="shared" si="6"/>
        <v>0</v>
      </c>
      <c r="W9" s="120"/>
      <c r="X9" s="19"/>
      <c r="Y9" s="57">
        <f t="shared" si="7"/>
        <v>0</v>
      </c>
      <c r="Z9" s="20"/>
      <c r="AA9" s="95">
        <f t="shared" si="8"/>
        <v>0</v>
      </c>
      <c r="AB9" s="120"/>
      <c r="AC9" s="19"/>
      <c r="AD9" s="57">
        <f t="shared" si="9"/>
        <v>0</v>
      </c>
      <c r="AE9" s="20"/>
      <c r="AF9" s="95">
        <f t="shared" si="10"/>
        <v>0</v>
      </c>
      <c r="AG9" s="120"/>
      <c r="AH9" s="19"/>
      <c r="AI9" s="57">
        <f t="shared" si="11"/>
        <v>0</v>
      </c>
      <c r="AJ9" s="20"/>
      <c r="AK9" s="95">
        <f t="shared" si="12"/>
        <v>0</v>
      </c>
      <c r="AL9" s="91"/>
      <c r="AM9" s="19"/>
      <c r="AN9" s="57">
        <f t="shared" si="13"/>
        <v>0</v>
      </c>
      <c r="AO9" s="20"/>
      <c r="AP9" s="100">
        <f t="shared" si="14"/>
        <v>0</v>
      </c>
      <c r="AQ9" s="91"/>
      <c r="AR9" s="19"/>
      <c r="AS9" s="57">
        <f t="shared" si="15"/>
        <v>0</v>
      </c>
      <c r="AT9" s="20"/>
      <c r="AU9" s="100">
        <f t="shared" si="16"/>
        <v>0</v>
      </c>
      <c r="AV9" s="91"/>
      <c r="AW9" s="19"/>
      <c r="AX9" s="57">
        <f t="shared" si="17"/>
        <v>0</v>
      </c>
      <c r="AY9" s="20"/>
      <c r="AZ9" s="100">
        <f t="shared" si="18"/>
        <v>0</v>
      </c>
      <c r="BA9" s="91"/>
      <c r="BB9" s="19"/>
      <c r="BC9" s="57">
        <f t="shared" si="19"/>
        <v>0</v>
      </c>
      <c r="BD9" s="20"/>
      <c r="BE9" s="100">
        <f t="shared" si="20"/>
        <v>0</v>
      </c>
      <c r="BF9" s="91"/>
      <c r="BG9" s="19"/>
      <c r="BH9" s="57">
        <f t="shared" si="21"/>
        <v>0</v>
      </c>
      <c r="BI9" s="20"/>
      <c r="BJ9" s="100">
        <f t="shared" si="22"/>
        <v>0</v>
      </c>
      <c r="BK9" s="91"/>
      <c r="BL9" s="19"/>
      <c r="BM9" s="57">
        <f t="shared" si="23"/>
        <v>0</v>
      </c>
      <c r="BN9" s="20"/>
      <c r="BO9" s="100">
        <f t="shared" si="24"/>
        <v>0</v>
      </c>
      <c r="BP9" s="91"/>
      <c r="BQ9" s="19"/>
      <c r="BR9" s="57">
        <f t="shared" si="25"/>
        <v>0</v>
      </c>
      <c r="BS9" s="20"/>
      <c r="BT9" s="100">
        <f t="shared" si="26"/>
        <v>0</v>
      </c>
      <c r="BU9" s="55"/>
      <c r="BV9" s="107">
        <f t="shared" si="59"/>
        <v>0</v>
      </c>
      <c r="BW9" s="91"/>
      <c r="BX9" s="19"/>
      <c r="BY9" s="57">
        <f t="shared" si="27"/>
        <v>0</v>
      </c>
      <c r="BZ9" s="20"/>
      <c r="CA9" s="95">
        <f t="shared" si="28"/>
        <v>0</v>
      </c>
      <c r="CB9" s="120"/>
      <c r="CC9" s="19"/>
      <c r="CD9" s="57">
        <f t="shared" si="29"/>
        <v>0</v>
      </c>
      <c r="CE9" s="20"/>
      <c r="CF9" s="95">
        <f t="shared" si="30"/>
        <v>0</v>
      </c>
      <c r="CG9" s="120"/>
      <c r="CH9" s="19"/>
      <c r="CI9" s="57">
        <f t="shared" si="31"/>
        <v>0</v>
      </c>
      <c r="CJ9" s="20"/>
      <c r="CK9" s="95">
        <f t="shared" si="32"/>
        <v>0</v>
      </c>
      <c r="CL9" s="120"/>
      <c r="CM9" s="19"/>
      <c r="CN9" s="57">
        <f t="shared" si="33"/>
        <v>0</v>
      </c>
      <c r="CO9" s="20"/>
      <c r="CP9" s="95">
        <f t="shared" si="34"/>
        <v>0</v>
      </c>
      <c r="CQ9" s="120"/>
      <c r="CR9" s="19"/>
      <c r="CS9" s="57">
        <f t="shared" si="35"/>
        <v>0</v>
      </c>
      <c r="CT9" s="20"/>
      <c r="CU9" s="95">
        <f t="shared" si="36"/>
        <v>0</v>
      </c>
      <c r="CV9" s="120"/>
      <c r="CW9" s="19"/>
      <c r="CX9" s="57">
        <f t="shared" si="37"/>
        <v>0</v>
      </c>
      <c r="CY9" s="20"/>
      <c r="CZ9" s="95">
        <f t="shared" si="38"/>
        <v>0</v>
      </c>
      <c r="DA9" s="120"/>
      <c r="DB9" s="19"/>
      <c r="DC9" s="57">
        <f t="shared" si="39"/>
        <v>0</v>
      </c>
      <c r="DD9" s="20"/>
      <c r="DE9" s="95">
        <f t="shared" si="40"/>
        <v>0</v>
      </c>
      <c r="DF9" s="91"/>
      <c r="DG9" s="19"/>
      <c r="DH9" s="57">
        <f t="shared" si="41"/>
        <v>0</v>
      </c>
      <c r="DI9" s="20"/>
      <c r="DJ9" s="100">
        <f t="shared" si="42"/>
        <v>0</v>
      </c>
      <c r="DK9" s="91"/>
      <c r="DL9" s="19"/>
      <c r="DM9" s="57">
        <f t="shared" si="43"/>
        <v>0</v>
      </c>
      <c r="DN9" s="20"/>
      <c r="DO9" s="100">
        <f t="shared" si="44"/>
        <v>0</v>
      </c>
      <c r="DP9" s="91"/>
      <c r="DQ9" s="19"/>
      <c r="DR9" s="57">
        <f t="shared" si="45"/>
        <v>0</v>
      </c>
      <c r="DS9" s="20"/>
      <c r="DT9" s="100">
        <f t="shared" si="46"/>
        <v>0</v>
      </c>
      <c r="DU9" s="91"/>
      <c r="DV9" s="19"/>
      <c r="DW9" s="57">
        <f t="shared" si="47"/>
        <v>0</v>
      </c>
      <c r="DX9" s="20"/>
      <c r="DY9" s="100">
        <f t="shared" si="48"/>
        <v>0</v>
      </c>
      <c r="DZ9" s="91"/>
      <c r="EA9" s="19"/>
      <c r="EB9" s="57">
        <f t="shared" si="49"/>
        <v>0</v>
      </c>
      <c r="EC9" s="20"/>
      <c r="ED9" s="100">
        <f t="shared" si="50"/>
        <v>0</v>
      </c>
      <c r="EE9" s="91"/>
      <c r="EF9" s="19"/>
      <c r="EG9" s="57">
        <f t="shared" si="51"/>
        <v>0</v>
      </c>
      <c r="EH9" s="20"/>
      <c r="EI9" s="100">
        <f t="shared" si="52"/>
        <v>0</v>
      </c>
      <c r="EJ9" s="91"/>
      <c r="EK9" s="19"/>
      <c r="EL9" s="57">
        <f t="shared" si="53"/>
        <v>0</v>
      </c>
      <c r="EM9" s="20"/>
      <c r="EN9" s="100">
        <f t="shared" si="54"/>
        <v>0</v>
      </c>
      <c r="EO9" s="91"/>
      <c r="EP9" s="19"/>
      <c r="EQ9" s="57">
        <f t="shared" si="55"/>
        <v>0</v>
      </c>
      <c r="ER9" s="20"/>
      <c r="ES9" s="100">
        <f t="shared" si="56"/>
        <v>0</v>
      </c>
      <c r="ET9" s="55"/>
      <c r="EU9" s="55"/>
    </row>
    <row r="10" spans="1:151" x14ac:dyDescent="0.25">
      <c r="A10" s="177" t="s">
        <v>103</v>
      </c>
      <c r="B10" s="107">
        <f t="shared" si="60"/>
        <v>62877</v>
      </c>
      <c r="C10" s="190">
        <v>62877</v>
      </c>
      <c r="D10" s="19">
        <v>1</v>
      </c>
      <c r="E10" s="57">
        <f>SUM(C10*D10)</f>
        <v>62877</v>
      </c>
      <c r="F10" s="20">
        <v>0</v>
      </c>
      <c r="G10" s="95">
        <f t="shared" si="62"/>
        <v>62877</v>
      </c>
      <c r="H10" s="120"/>
      <c r="I10" s="19"/>
      <c r="J10" s="57">
        <f t="shared" si="63"/>
        <v>0</v>
      </c>
      <c r="K10" s="20"/>
      <c r="L10" s="95">
        <f t="shared" si="64"/>
        <v>0</v>
      </c>
      <c r="M10" s="120"/>
      <c r="N10" s="19"/>
      <c r="O10" s="57">
        <f t="shared" si="3"/>
        <v>0</v>
      </c>
      <c r="P10" s="20"/>
      <c r="Q10" s="95">
        <f t="shared" si="4"/>
        <v>0</v>
      </c>
      <c r="R10" s="120"/>
      <c r="S10" s="19"/>
      <c r="T10" s="57">
        <f t="shared" si="5"/>
        <v>0</v>
      </c>
      <c r="U10" s="20"/>
      <c r="V10" s="95">
        <f t="shared" si="6"/>
        <v>0</v>
      </c>
      <c r="W10" s="120"/>
      <c r="X10" s="19"/>
      <c r="Y10" s="57">
        <f t="shared" si="7"/>
        <v>0</v>
      </c>
      <c r="Z10" s="20"/>
      <c r="AA10" s="95">
        <f t="shared" si="8"/>
        <v>0</v>
      </c>
      <c r="AB10" s="120"/>
      <c r="AC10" s="19"/>
      <c r="AD10" s="57">
        <f t="shared" si="9"/>
        <v>0</v>
      </c>
      <c r="AE10" s="20"/>
      <c r="AF10" s="95">
        <f t="shared" si="10"/>
        <v>0</v>
      </c>
      <c r="AG10" s="120"/>
      <c r="AH10" s="19"/>
      <c r="AI10" s="57">
        <f t="shared" si="11"/>
        <v>0</v>
      </c>
      <c r="AJ10" s="20"/>
      <c r="AK10" s="95">
        <f t="shared" si="12"/>
        <v>0</v>
      </c>
      <c r="AL10" s="91"/>
      <c r="AM10" s="19"/>
      <c r="AN10" s="57">
        <f t="shared" si="13"/>
        <v>0</v>
      </c>
      <c r="AO10" s="20"/>
      <c r="AP10" s="100">
        <f t="shared" si="14"/>
        <v>0</v>
      </c>
      <c r="AQ10" s="91"/>
      <c r="AR10" s="19"/>
      <c r="AS10" s="57">
        <f t="shared" si="15"/>
        <v>0</v>
      </c>
      <c r="AT10" s="20"/>
      <c r="AU10" s="100">
        <f t="shared" si="16"/>
        <v>0</v>
      </c>
      <c r="AV10" s="91"/>
      <c r="AW10" s="19"/>
      <c r="AX10" s="57">
        <f t="shared" si="17"/>
        <v>0</v>
      </c>
      <c r="AY10" s="20"/>
      <c r="AZ10" s="100">
        <f t="shared" si="18"/>
        <v>0</v>
      </c>
      <c r="BA10" s="91"/>
      <c r="BB10" s="19"/>
      <c r="BC10" s="57">
        <f t="shared" si="19"/>
        <v>0</v>
      </c>
      <c r="BD10" s="20"/>
      <c r="BE10" s="100">
        <f t="shared" si="20"/>
        <v>0</v>
      </c>
      <c r="BF10" s="91"/>
      <c r="BG10" s="19"/>
      <c r="BH10" s="57">
        <f t="shared" si="21"/>
        <v>0</v>
      </c>
      <c r="BI10" s="20"/>
      <c r="BJ10" s="100">
        <f t="shared" si="22"/>
        <v>0</v>
      </c>
      <c r="BK10" s="91"/>
      <c r="BL10" s="19"/>
      <c r="BM10" s="57">
        <f t="shared" si="23"/>
        <v>0</v>
      </c>
      <c r="BN10" s="20"/>
      <c r="BO10" s="100">
        <f t="shared" si="24"/>
        <v>0</v>
      </c>
      <c r="BP10" s="91"/>
      <c r="BQ10" s="19"/>
      <c r="BR10" s="57">
        <f t="shared" si="25"/>
        <v>0</v>
      </c>
      <c r="BS10" s="20"/>
      <c r="BT10" s="100">
        <f t="shared" si="26"/>
        <v>0</v>
      </c>
      <c r="BU10" s="55"/>
      <c r="BV10" s="107">
        <f t="shared" si="59"/>
        <v>0</v>
      </c>
      <c r="BW10" s="91"/>
      <c r="BX10" s="19"/>
      <c r="BY10" s="57">
        <f t="shared" si="27"/>
        <v>0</v>
      </c>
      <c r="BZ10" s="20"/>
      <c r="CA10" s="95">
        <f t="shared" si="28"/>
        <v>0</v>
      </c>
      <c r="CB10" s="120"/>
      <c r="CC10" s="19"/>
      <c r="CD10" s="57">
        <f t="shared" si="29"/>
        <v>0</v>
      </c>
      <c r="CE10" s="20"/>
      <c r="CF10" s="95">
        <f t="shared" si="30"/>
        <v>0</v>
      </c>
      <c r="CG10" s="120"/>
      <c r="CH10" s="19"/>
      <c r="CI10" s="57">
        <f t="shared" si="31"/>
        <v>0</v>
      </c>
      <c r="CJ10" s="20"/>
      <c r="CK10" s="95">
        <f t="shared" si="32"/>
        <v>0</v>
      </c>
      <c r="CL10" s="120"/>
      <c r="CM10" s="19"/>
      <c r="CN10" s="57">
        <f t="shared" si="33"/>
        <v>0</v>
      </c>
      <c r="CO10" s="20"/>
      <c r="CP10" s="95">
        <f t="shared" si="34"/>
        <v>0</v>
      </c>
      <c r="CQ10" s="120"/>
      <c r="CR10" s="19"/>
      <c r="CS10" s="57">
        <f t="shared" si="35"/>
        <v>0</v>
      </c>
      <c r="CT10" s="20"/>
      <c r="CU10" s="95">
        <f t="shared" si="36"/>
        <v>0</v>
      </c>
      <c r="CV10" s="120"/>
      <c r="CW10" s="19"/>
      <c r="CX10" s="57">
        <f t="shared" si="37"/>
        <v>0</v>
      </c>
      <c r="CY10" s="20"/>
      <c r="CZ10" s="95">
        <f t="shared" si="38"/>
        <v>0</v>
      </c>
      <c r="DA10" s="120"/>
      <c r="DB10" s="19"/>
      <c r="DC10" s="57">
        <f t="shared" si="39"/>
        <v>0</v>
      </c>
      <c r="DD10" s="20"/>
      <c r="DE10" s="95">
        <f t="shared" si="40"/>
        <v>0</v>
      </c>
      <c r="DF10" s="91"/>
      <c r="DG10" s="19"/>
      <c r="DH10" s="57">
        <f t="shared" si="41"/>
        <v>0</v>
      </c>
      <c r="DI10" s="20"/>
      <c r="DJ10" s="100">
        <f t="shared" si="42"/>
        <v>0</v>
      </c>
      <c r="DK10" s="91"/>
      <c r="DL10" s="19"/>
      <c r="DM10" s="57">
        <f t="shared" si="43"/>
        <v>0</v>
      </c>
      <c r="DN10" s="20"/>
      <c r="DO10" s="100">
        <f t="shared" si="44"/>
        <v>0</v>
      </c>
      <c r="DP10" s="91"/>
      <c r="DQ10" s="19"/>
      <c r="DR10" s="57">
        <f t="shared" si="45"/>
        <v>0</v>
      </c>
      <c r="DS10" s="20"/>
      <c r="DT10" s="100">
        <f t="shared" si="46"/>
        <v>0</v>
      </c>
      <c r="DU10" s="91"/>
      <c r="DV10" s="19"/>
      <c r="DW10" s="57">
        <f t="shared" si="47"/>
        <v>0</v>
      </c>
      <c r="DX10" s="20"/>
      <c r="DY10" s="100">
        <f t="shared" si="48"/>
        <v>0</v>
      </c>
      <c r="DZ10" s="91"/>
      <c r="EA10" s="19"/>
      <c r="EB10" s="57">
        <f t="shared" si="49"/>
        <v>0</v>
      </c>
      <c r="EC10" s="20"/>
      <c r="ED10" s="100">
        <f t="shared" si="50"/>
        <v>0</v>
      </c>
      <c r="EE10" s="91"/>
      <c r="EF10" s="19"/>
      <c r="EG10" s="57">
        <f t="shared" si="51"/>
        <v>0</v>
      </c>
      <c r="EH10" s="20"/>
      <c r="EI10" s="100">
        <f t="shared" si="52"/>
        <v>0</v>
      </c>
      <c r="EJ10" s="91"/>
      <c r="EK10" s="19"/>
      <c r="EL10" s="57">
        <f t="shared" si="53"/>
        <v>0</v>
      </c>
      <c r="EM10" s="20"/>
      <c r="EN10" s="100">
        <f t="shared" si="54"/>
        <v>0</v>
      </c>
      <c r="EO10" s="91"/>
      <c r="EP10" s="19"/>
      <c r="EQ10" s="57">
        <f t="shared" si="55"/>
        <v>0</v>
      </c>
      <c r="ER10" s="20"/>
      <c r="ES10" s="100">
        <f t="shared" si="56"/>
        <v>0</v>
      </c>
      <c r="ET10" s="55"/>
      <c r="EU10" s="55"/>
    </row>
    <row r="11" spans="1:151" x14ac:dyDescent="0.25">
      <c r="A11" s="191" t="s">
        <v>104</v>
      </c>
      <c r="B11" s="107">
        <f t="shared" si="57"/>
        <v>0</v>
      </c>
      <c r="C11" s="193">
        <v>249143</v>
      </c>
      <c r="D11" s="19">
        <v>0</v>
      </c>
      <c r="E11" s="57">
        <f t="shared" ref="E11:E14" si="65">SUM(C11*D11)</f>
        <v>0</v>
      </c>
      <c r="F11" s="20"/>
      <c r="G11" s="95">
        <f t="shared" si="1"/>
        <v>0</v>
      </c>
      <c r="H11" s="120"/>
      <c r="I11" s="19"/>
      <c r="J11" s="57">
        <f t="shared" ref="J11:J14" si="66">SUM(H11*I11)</f>
        <v>0</v>
      </c>
      <c r="K11" s="20"/>
      <c r="L11" s="95">
        <f t="shared" si="2"/>
        <v>0</v>
      </c>
      <c r="M11" s="120"/>
      <c r="N11" s="19"/>
      <c r="O11" s="57">
        <f t="shared" si="3"/>
        <v>0</v>
      </c>
      <c r="P11" s="20"/>
      <c r="Q11" s="95">
        <f t="shared" si="4"/>
        <v>0</v>
      </c>
      <c r="R11" s="120"/>
      <c r="S11" s="19"/>
      <c r="T11" s="57">
        <f t="shared" si="5"/>
        <v>0</v>
      </c>
      <c r="U11" s="20"/>
      <c r="V11" s="95">
        <f t="shared" si="6"/>
        <v>0</v>
      </c>
      <c r="W11" s="120"/>
      <c r="X11" s="19"/>
      <c r="Y11" s="57">
        <f t="shared" si="7"/>
        <v>0</v>
      </c>
      <c r="Z11" s="20"/>
      <c r="AA11" s="95">
        <f t="shared" si="8"/>
        <v>0</v>
      </c>
      <c r="AB11" s="120"/>
      <c r="AC11" s="19"/>
      <c r="AD11" s="57">
        <f t="shared" si="9"/>
        <v>0</v>
      </c>
      <c r="AE11" s="20"/>
      <c r="AF11" s="95">
        <f t="shared" si="10"/>
        <v>0</v>
      </c>
      <c r="AG11" s="120"/>
      <c r="AH11" s="19"/>
      <c r="AI11" s="57">
        <f t="shared" si="11"/>
        <v>0</v>
      </c>
      <c r="AJ11" s="20"/>
      <c r="AK11" s="95">
        <f t="shared" si="12"/>
        <v>0</v>
      </c>
      <c r="AL11" s="91"/>
      <c r="AM11" s="19"/>
      <c r="AN11" s="57">
        <f t="shared" si="13"/>
        <v>0</v>
      </c>
      <c r="AO11" s="20"/>
      <c r="AP11" s="100">
        <f t="shared" si="14"/>
        <v>0</v>
      </c>
      <c r="AQ11" s="91"/>
      <c r="AR11" s="19"/>
      <c r="AS11" s="57">
        <f t="shared" si="15"/>
        <v>0</v>
      </c>
      <c r="AT11" s="20"/>
      <c r="AU11" s="100">
        <f t="shared" si="16"/>
        <v>0</v>
      </c>
      <c r="AV11" s="91"/>
      <c r="AW11" s="19"/>
      <c r="AX11" s="57">
        <f t="shared" si="17"/>
        <v>0</v>
      </c>
      <c r="AY11" s="20"/>
      <c r="AZ11" s="100">
        <f t="shared" si="18"/>
        <v>0</v>
      </c>
      <c r="BA11" s="91"/>
      <c r="BB11" s="19"/>
      <c r="BC11" s="57">
        <f t="shared" si="19"/>
        <v>0</v>
      </c>
      <c r="BD11" s="20"/>
      <c r="BE11" s="100">
        <f t="shared" si="20"/>
        <v>0</v>
      </c>
      <c r="BF11" s="91"/>
      <c r="BG11" s="19"/>
      <c r="BH11" s="57">
        <f t="shared" si="21"/>
        <v>0</v>
      </c>
      <c r="BI11" s="20"/>
      <c r="BJ11" s="100">
        <f t="shared" si="22"/>
        <v>0</v>
      </c>
      <c r="BK11" s="91"/>
      <c r="BL11" s="19"/>
      <c r="BM11" s="57">
        <f t="shared" si="23"/>
        <v>0</v>
      </c>
      <c r="BN11" s="20"/>
      <c r="BO11" s="100">
        <f t="shared" si="24"/>
        <v>0</v>
      </c>
      <c r="BP11" s="91"/>
      <c r="BQ11" s="19"/>
      <c r="BR11" s="57">
        <f t="shared" si="25"/>
        <v>0</v>
      </c>
      <c r="BS11" s="20"/>
      <c r="BT11" s="100">
        <f t="shared" si="26"/>
        <v>0</v>
      </c>
      <c r="BU11" s="55"/>
      <c r="BV11" s="107">
        <f t="shared" si="59"/>
        <v>0</v>
      </c>
      <c r="BW11" s="91"/>
      <c r="BX11" s="19"/>
      <c r="BY11" s="57">
        <f t="shared" si="27"/>
        <v>0</v>
      </c>
      <c r="BZ11" s="20"/>
      <c r="CA11" s="95">
        <f t="shared" si="28"/>
        <v>0</v>
      </c>
      <c r="CB11" s="120"/>
      <c r="CC11" s="19"/>
      <c r="CD11" s="57">
        <f t="shared" si="29"/>
        <v>0</v>
      </c>
      <c r="CE11" s="20"/>
      <c r="CF11" s="95">
        <f t="shared" si="30"/>
        <v>0</v>
      </c>
      <c r="CG11" s="120"/>
      <c r="CH11" s="19"/>
      <c r="CI11" s="57">
        <f t="shared" si="31"/>
        <v>0</v>
      </c>
      <c r="CJ11" s="20"/>
      <c r="CK11" s="95">
        <f t="shared" si="32"/>
        <v>0</v>
      </c>
      <c r="CL11" s="120"/>
      <c r="CM11" s="19"/>
      <c r="CN11" s="57">
        <f t="shared" si="33"/>
        <v>0</v>
      </c>
      <c r="CO11" s="20"/>
      <c r="CP11" s="95">
        <f t="shared" si="34"/>
        <v>0</v>
      </c>
      <c r="CQ11" s="120"/>
      <c r="CR11" s="19"/>
      <c r="CS11" s="57">
        <f t="shared" si="35"/>
        <v>0</v>
      </c>
      <c r="CT11" s="20"/>
      <c r="CU11" s="95">
        <f t="shared" si="36"/>
        <v>0</v>
      </c>
      <c r="CV11" s="120"/>
      <c r="CW11" s="19"/>
      <c r="CX11" s="57">
        <f t="shared" si="37"/>
        <v>0</v>
      </c>
      <c r="CY11" s="20"/>
      <c r="CZ11" s="95">
        <f t="shared" si="38"/>
        <v>0</v>
      </c>
      <c r="DA11" s="120"/>
      <c r="DB11" s="19"/>
      <c r="DC11" s="57">
        <f t="shared" si="39"/>
        <v>0</v>
      </c>
      <c r="DD11" s="20"/>
      <c r="DE11" s="95">
        <f t="shared" si="40"/>
        <v>0</v>
      </c>
      <c r="DF11" s="91"/>
      <c r="DG11" s="19"/>
      <c r="DH11" s="57">
        <f t="shared" si="41"/>
        <v>0</v>
      </c>
      <c r="DI11" s="20"/>
      <c r="DJ11" s="100">
        <f t="shared" si="42"/>
        <v>0</v>
      </c>
      <c r="DK11" s="91"/>
      <c r="DL11" s="19"/>
      <c r="DM11" s="57">
        <f t="shared" si="43"/>
        <v>0</v>
      </c>
      <c r="DN11" s="20"/>
      <c r="DO11" s="100">
        <f t="shared" si="44"/>
        <v>0</v>
      </c>
      <c r="DP11" s="91"/>
      <c r="DQ11" s="19"/>
      <c r="DR11" s="57">
        <f t="shared" si="45"/>
        <v>0</v>
      </c>
      <c r="DS11" s="20"/>
      <c r="DT11" s="100">
        <f t="shared" si="46"/>
        <v>0</v>
      </c>
      <c r="DU11" s="91"/>
      <c r="DV11" s="19"/>
      <c r="DW11" s="57">
        <f t="shared" si="47"/>
        <v>0</v>
      </c>
      <c r="DX11" s="20"/>
      <c r="DY11" s="100">
        <f t="shared" si="48"/>
        <v>0</v>
      </c>
      <c r="DZ11" s="91"/>
      <c r="EA11" s="19"/>
      <c r="EB11" s="57">
        <f t="shared" si="49"/>
        <v>0</v>
      </c>
      <c r="EC11" s="20"/>
      <c r="ED11" s="100">
        <f t="shared" si="50"/>
        <v>0</v>
      </c>
      <c r="EE11" s="91"/>
      <c r="EF11" s="19"/>
      <c r="EG11" s="57">
        <f t="shared" si="51"/>
        <v>0</v>
      </c>
      <c r="EH11" s="20"/>
      <c r="EI11" s="100">
        <f t="shared" si="52"/>
        <v>0</v>
      </c>
      <c r="EJ11" s="91"/>
      <c r="EK11" s="19"/>
      <c r="EL11" s="57">
        <f t="shared" si="53"/>
        <v>0</v>
      </c>
      <c r="EM11" s="20"/>
      <c r="EN11" s="100">
        <f t="shared" si="54"/>
        <v>0</v>
      </c>
      <c r="EO11" s="91"/>
      <c r="EP11" s="19"/>
      <c r="EQ11" s="57">
        <f t="shared" si="55"/>
        <v>0</v>
      </c>
      <c r="ER11" s="20"/>
      <c r="ES11" s="100">
        <f t="shared" si="56"/>
        <v>0</v>
      </c>
      <c r="ET11" s="55"/>
      <c r="EU11" s="55"/>
    </row>
    <row r="12" spans="1:151" x14ac:dyDescent="0.25">
      <c r="A12" s="191" t="s">
        <v>105</v>
      </c>
      <c r="B12" s="107">
        <f t="shared" si="57"/>
        <v>357912.25</v>
      </c>
      <c r="C12" s="193">
        <v>357912.25</v>
      </c>
      <c r="D12" s="19">
        <v>1</v>
      </c>
      <c r="E12" s="57">
        <f t="shared" si="65"/>
        <v>357912.25</v>
      </c>
      <c r="F12" s="20"/>
      <c r="G12" s="95">
        <f t="shared" si="1"/>
        <v>357912.25</v>
      </c>
      <c r="H12" s="120"/>
      <c r="I12" s="19"/>
      <c r="J12" s="57">
        <f t="shared" si="66"/>
        <v>0</v>
      </c>
      <c r="K12" s="20"/>
      <c r="L12" s="95">
        <f t="shared" si="2"/>
        <v>0</v>
      </c>
      <c r="M12" s="120"/>
      <c r="N12" s="19"/>
      <c r="O12" s="57">
        <f t="shared" si="3"/>
        <v>0</v>
      </c>
      <c r="P12" s="20"/>
      <c r="Q12" s="95">
        <f t="shared" si="4"/>
        <v>0</v>
      </c>
      <c r="R12" s="120"/>
      <c r="S12" s="19"/>
      <c r="T12" s="57">
        <f t="shared" si="5"/>
        <v>0</v>
      </c>
      <c r="U12" s="20"/>
      <c r="V12" s="95">
        <f t="shared" si="6"/>
        <v>0</v>
      </c>
      <c r="W12" s="120"/>
      <c r="X12" s="19"/>
      <c r="Y12" s="57">
        <f t="shared" si="7"/>
        <v>0</v>
      </c>
      <c r="Z12" s="20"/>
      <c r="AA12" s="95">
        <f t="shared" si="8"/>
        <v>0</v>
      </c>
      <c r="AB12" s="120"/>
      <c r="AC12" s="19"/>
      <c r="AD12" s="57">
        <f t="shared" si="9"/>
        <v>0</v>
      </c>
      <c r="AE12" s="20"/>
      <c r="AF12" s="95">
        <f t="shared" si="10"/>
        <v>0</v>
      </c>
      <c r="AG12" s="120"/>
      <c r="AH12" s="19"/>
      <c r="AI12" s="57">
        <f t="shared" si="11"/>
        <v>0</v>
      </c>
      <c r="AJ12" s="20"/>
      <c r="AK12" s="95">
        <f t="shared" si="12"/>
        <v>0</v>
      </c>
      <c r="AL12" s="91"/>
      <c r="AM12" s="19"/>
      <c r="AN12" s="57">
        <f t="shared" si="13"/>
        <v>0</v>
      </c>
      <c r="AO12" s="20"/>
      <c r="AP12" s="100">
        <f t="shared" si="14"/>
        <v>0</v>
      </c>
      <c r="AQ12" s="91"/>
      <c r="AR12" s="19"/>
      <c r="AS12" s="57">
        <f t="shared" si="15"/>
        <v>0</v>
      </c>
      <c r="AT12" s="20"/>
      <c r="AU12" s="100">
        <f t="shared" si="16"/>
        <v>0</v>
      </c>
      <c r="AV12" s="91"/>
      <c r="AW12" s="19"/>
      <c r="AX12" s="57">
        <f t="shared" si="17"/>
        <v>0</v>
      </c>
      <c r="AY12" s="20"/>
      <c r="AZ12" s="100">
        <f t="shared" si="18"/>
        <v>0</v>
      </c>
      <c r="BA12" s="91"/>
      <c r="BB12" s="19"/>
      <c r="BC12" s="57">
        <f t="shared" si="19"/>
        <v>0</v>
      </c>
      <c r="BD12" s="20"/>
      <c r="BE12" s="100">
        <f t="shared" si="20"/>
        <v>0</v>
      </c>
      <c r="BF12" s="91"/>
      <c r="BG12" s="19"/>
      <c r="BH12" s="57">
        <f t="shared" si="21"/>
        <v>0</v>
      </c>
      <c r="BI12" s="20"/>
      <c r="BJ12" s="100">
        <f t="shared" si="22"/>
        <v>0</v>
      </c>
      <c r="BK12" s="91"/>
      <c r="BL12" s="19"/>
      <c r="BM12" s="57">
        <f t="shared" si="23"/>
        <v>0</v>
      </c>
      <c r="BN12" s="20"/>
      <c r="BO12" s="100">
        <f t="shared" si="24"/>
        <v>0</v>
      </c>
      <c r="BP12" s="91"/>
      <c r="BQ12" s="19"/>
      <c r="BR12" s="57">
        <f t="shared" si="25"/>
        <v>0</v>
      </c>
      <c r="BS12" s="20"/>
      <c r="BT12" s="100">
        <f t="shared" si="26"/>
        <v>0</v>
      </c>
      <c r="BU12" s="55"/>
      <c r="BV12" s="107">
        <f t="shared" si="59"/>
        <v>0</v>
      </c>
      <c r="BW12" s="91"/>
      <c r="BX12" s="19"/>
      <c r="BY12" s="57">
        <f t="shared" si="27"/>
        <v>0</v>
      </c>
      <c r="BZ12" s="20"/>
      <c r="CA12" s="95">
        <f t="shared" si="28"/>
        <v>0</v>
      </c>
      <c r="CB12" s="120"/>
      <c r="CC12" s="19"/>
      <c r="CD12" s="57">
        <f t="shared" si="29"/>
        <v>0</v>
      </c>
      <c r="CE12" s="20"/>
      <c r="CF12" s="95">
        <f t="shared" si="30"/>
        <v>0</v>
      </c>
      <c r="CG12" s="120"/>
      <c r="CH12" s="19"/>
      <c r="CI12" s="57">
        <f t="shared" si="31"/>
        <v>0</v>
      </c>
      <c r="CJ12" s="20"/>
      <c r="CK12" s="95">
        <f t="shared" si="32"/>
        <v>0</v>
      </c>
      <c r="CL12" s="120"/>
      <c r="CM12" s="19"/>
      <c r="CN12" s="57">
        <f t="shared" si="33"/>
        <v>0</v>
      </c>
      <c r="CO12" s="20"/>
      <c r="CP12" s="95">
        <f t="shared" si="34"/>
        <v>0</v>
      </c>
      <c r="CQ12" s="120"/>
      <c r="CR12" s="19"/>
      <c r="CS12" s="57">
        <f t="shared" si="35"/>
        <v>0</v>
      </c>
      <c r="CT12" s="20"/>
      <c r="CU12" s="95">
        <f t="shared" si="36"/>
        <v>0</v>
      </c>
      <c r="CV12" s="120"/>
      <c r="CW12" s="19"/>
      <c r="CX12" s="57">
        <f t="shared" si="37"/>
        <v>0</v>
      </c>
      <c r="CY12" s="20"/>
      <c r="CZ12" s="95">
        <f t="shared" si="38"/>
        <v>0</v>
      </c>
      <c r="DA12" s="120"/>
      <c r="DB12" s="19"/>
      <c r="DC12" s="57">
        <f t="shared" si="39"/>
        <v>0</v>
      </c>
      <c r="DD12" s="20"/>
      <c r="DE12" s="95">
        <f t="shared" si="40"/>
        <v>0</v>
      </c>
      <c r="DF12" s="91"/>
      <c r="DG12" s="19"/>
      <c r="DH12" s="57">
        <f t="shared" si="41"/>
        <v>0</v>
      </c>
      <c r="DI12" s="20"/>
      <c r="DJ12" s="100">
        <f t="shared" si="42"/>
        <v>0</v>
      </c>
      <c r="DK12" s="91"/>
      <c r="DL12" s="19"/>
      <c r="DM12" s="57">
        <f t="shared" si="43"/>
        <v>0</v>
      </c>
      <c r="DN12" s="20"/>
      <c r="DO12" s="100">
        <f t="shared" si="44"/>
        <v>0</v>
      </c>
      <c r="DP12" s="91"/>
      <c r="DQ12" s="19"/>
      <c r="DR12" s="57">
        <f t="shared" si="45"/>
        <v>0</v>
      </c>
      <c r="DS12" s="20"/>
      <c r="DT12" s="100">
        <f t="shared" si="46"/>
        <v>0</v>
      </c>
      <c r="DU12" s="91"/>
      <c r="DV12" s="19"/>
      <c r="DW12" s="57">
        <f t="shared" si="47"/>
        <v>0</v>
      </c>
      <c r="DX12" s="20"/>
      <c r="DY12" s="100">
        <f t="shared" si="48"/>
        <v>0</v>
      </c>
      <c r="DZ12" s="91"/>
      <c r="EA12" s="19"/>
      <c r="EB12" s="57">
        <f t="shared" si="49"/>
        <v>0</v>
      </c>
      <c r="EC12" s="20"/>
      <c r="ED12" s="100">
        <f t="shared" si="50"/>
        <v>0</v>
      </c>
      <c r="EE12" s="91"/>
      <c r="EF12" s="19"/>
      <c r="EG12" s="57">
        <f t="shared" si="51"/>
        <v>0</v>
      </c>
      <c r="EH12" s="20"/>
      <c r="EI12" s="100">
        <f t="shared" si="52"/>
        <v>0</v>
      </c>
      <c r="EJ12" s="91"/>
      <c r="EK12" s="19"/>
      <c r="EL12" s="57">
        <f t="shared" si="53"/>
        <v>0</v>
      </c>
      <c r="EM12" s="20"/>
      <c r="EN12" s="100">
        <f t="shared" si="54"/>
        <v>0</v>
      </c>
      <c r="EO12" s="91"/>
      <c r="EP12" s="19"/>
      <c r="EQ12" s="57">
        <f t="shared" si="55"/>
        <v>0</v>
      </c>
      <c r="ER12" s="20"/>
      <c r="ES12" s="100">
        <f t="shared" si="56"/>
        <v>0</v>
      </c>
      <c r="ET12" s="55"/>
      <c r="EU12" s="55"/>
    </row>
    <row r="13" spans="1:151" x14ac:dyDescent="0.25">
      <c r="A13" s="18" t="s">
        <v>106</v>
      </c>
      <c r="B13" s="107">
        <f t="shared" si="57"/>
        <v>0</v>
      </c>
      <c r="C13" s="91"/>
      <c r="D13" s="19"/>
      <c r="E13" s="57">
        <f t="shared" si="65"/>
        <v>0</v>
      </c>
      <c r="F13" s="20"/>
      <c r="G13" s="95">
        <f t="shared" si="1"/>
        <v>0</v>
      </c>
      <c r="H13" s="120"/>
      <c r="I13" s="19"/>
      <c r="J13" s="57">
        <f t="shared" si="66"/>
        <v>0</v>
      </c>
      <c r="K13" s="20"/>
      <c r="L13" s="95">
        <f t="shared" si="2"/>
        <v>0</v>
      </c>
      <c r="M13" s="120"/>
      <c r="N13" s="19"/>
      <c r="O13" s="57">
        <f t="shared" si="3"/>
        <v>0</v>
      </c>
      <c r="P13" s="20"/>
      <c r="Q13" s="95">
        <f t="shared" si="4"/>
        <v>0</v>
      </c>
      <c r="R13" s="120"/>
      <c r="S13" s="19"/>
      <c r="T13" s="57">
        <f t="shared" si="5"/>
        <v>0</v>
      </c>
      <c r="U13" s="20"/>
      <c r="V13" s="95">
        <f t="shared" si="6"/>
        <v>0</v>
      </c>
      <c r="W13" s="120"/>
      <c r="X13" s="19"/>
      <c r="Y13" s="57">
        <f t="shared" si="7"/>
        <v>0</v>
      </c>
      <c r="Z13" s="20"/>
      <c r="AA13" s="95">
        <f t="shared" si="8"/>
        <v>0</v>
      </c>
      <c r="AB13" s="120"/>
      <c r="AC13" s="19"/>
      <c r="AD13" s="57">
        <f t="shared" si="9"/>
        <v>0</v>
      </c>
      <c r="AE13" s="20"/>
      <c r="AF13" s="95">
        <f t="shared" si="10"/>
        <v>0</v>
      </c>
      <c r="AG13" s="120"/>
      <c r="AH13" s="19"/>
      <c r="AI13" s="57">
        <f t="shared" si="11"/>
        <v>0</v>
      </c>
      <c r="AJ13" s="20"/>
      <c r="AK13" s="95">
        <f t="shared" si="12"/>
        <v>0</v>
      </c>
      <c r="AL13" s="91"/>
      <c r="AM13" s="19"/>
      <c r="AN13" s="57">
        <f t="shared" si="13"/>
        <v>0</v>
      </c>
      <c r="AO13" s="20"/>
      <c r="AP13" s="100">
        <f t="shared" si="14"/>
        <v>0</v>
      </c>
      <c r="AQ13" s="91"/>
      <c r="AR13" s="19"/>
      <c r="AS13" s="57">
        <f t="shared" si="15"/>
        <v>0</v>
      </c>
      <c r="AT13" s="20"/>
      <c r="AU13" s="100">
        <f t="shared" si="16"/>
        <v>0</v>
      </c>
      <c r="AV13" s="91"/>
      <c r="AW13" s="19"/>
      <c r="AX13" s="57">
        <f t="shared" si="17"/>
        <v>0</v>
      </c>
      <c r="AY13" s="20"/>
      <c r="AZ13" s="100">
        <f t="shared" si="18"/>
        <v>0</v>
      </c>
      <c r="BA13" s="91"/>
      <c r="BB13" s="19"/>
      <c r="BC13" s="57">
        <f t="shared" si="19"/>
        <v>0</v>
      </c>
      <c r="BD13" s="20"/>
      <c r="BE13" s="100">
        <f t="shared" si="20"/>
        <v>0</v>
      </c>
      <c r="BF13" s="91"/>
      <c r="BG13" s="19"/>
      <c r="BH13" s="57">
        <f t="shared" si="21"/>
        <v>0</v>
      </c>
      <c r="BI13" s="20"/>
      <c r="BJ13" s="100">
        <f t="shared" si="22"/>
        <v>0</v>
      </c>
      <c r="BK13" s="91"/>
      <c r="BL13" s="19"/>
      <c r="BM13" s="57">
        <f t="shared" si="23"/>
        <v>0</v>
      </c>
      <c r="BN13" s="20"/>
      <c r="BO13" s="100">
        <f t="shared" si="24"/>
        <v>0</v>
      </c>
      <c r="BP13" s="91"/>
      <c r="BQ13" s="19"/>
      <c r="BR13" s="57">
        <f t="shared" si="25"/>
        <v>0</v>
      </c>
      <c r="BS13" s="20"/>
      <c r="BT13" s="100">
        <f t="shared" si="26"/>
        <v>0</v>
      </c>
      <c r="BU13" s="55"/>
      <c r="BV13" s="107">
        <f t="shared" si="59"/>
        <v>0</v>
      </c>
      <c r="BW13" s="91"/>
      <c r="BX13" s="19"/>
      <c r="BY13" s="57">
        <f t="shared" si="27"/>
        <v>0</v>
      </c>
      <c r="BZ13" s="20"/>
      <c r="CA13" s="95">
        <f t="shared" si="28"/>
        <v>0</v>
      </c>
      <c r="CB13" s="120"/>
      <c r="CC13" s="19"/>
      <c r="CD13" s="57">
        <f t="shared" si="29"/>
        <v>0</v>
      </c>
      <c r="CE13" s="20"/>
      <c r="CF13" s="95">
        <f t="shared" si="30"/>
        <v>0</v>
      </c>
      <c r="CG13" s="120"/>
      <c r="CH13" s="19"/>
      <c r="CI13" s="57">
        <f t="shared" si="31"/>
        <v>0</v>
      </c>
      <c r="CJ13" s="20"/>
      <c r="CK13" s="95">
        <f t="shared" si="32"/>
        <v>0</v>
      </c>
      <c r="CL13" s="120"/>
      <c r="CM13" s="19"/>
      <c r="CN13" s="57">
        <f t="shared" si="33"/>
        <v>0</v>
      </c>
      <c r="CO13" s="20"/>
      <c r="CP13" s="95">
        <f t="shared" si="34"/>
        <v>0</v>
      </c>
      <c r="CQ13" s="120"/>
      <c r="CR13" s="19"/>
      <c r="CS13" s="57">
        <f t="shared" si="35"/>
        <v>0</v>
      </c>
      <c r="CT13" s="20"/>
      <c r="CU13" s="95">
        <f t="shared" si="36"/>
        <v>0</v>
      </c>
      <c r="CV13" s="120"/>
      <c r="CW13" s="19"/>
      <c r="CX13" s="57">
        <f t="shared" si="37"/>
        <v>0</v>
      </c>
      <c r="CY13" s="20"/>
      <c r="CZ13" s="95">
        <f t="shared" si="38"/>
        <v>0</v>
      </c>
      <c r="DA13" s="120"/>
      <c r="DB13" s="19"/>
      <c r="DC13" s="57">
        <f t="shared" si="39"/>
        <v>0</v>
      </c>
      <c r="DD13" s="20"/>
      <c r="DE13" s="95">
        <f t="shared" si="40"/>
        <v>0</v>
      </c>
      <c r="DF13" s="91"/>
      <c r="DG13" s="19"/>
      <c r="DH13" s="57">
        <f t="shared" si="41"/>
        <v>0</v>
      </c>
      <c r="DI13" s="20"/>
      <c r="DJ13" s="100">
        <f t="shared" si="42"/>
        <v>0</v>
      </c>
      <c r="DK13" s="91"/>
      <c r="DL13" s="19"/>
      <c r="DM13" s="57">
        <f t="shared" si="43"/>
        <v>0</v>
      </c>
      <c r="DN13" s="20"/>
      <c r="DO13" s="100">
        <f t="shared" si="44"/>
        <v>0</v>
      </c>
      <c r="DP13" s="91"/>
      <c r="DQ13" s="19"/>
      <c r="DR13" s="57">
        <f t="shared" si="45"/>
        <v>0</v>
      </c>
      <c r="DS13" s="20"/>
      <c r="DT13" s="100">
        <f t="shared" si="46"/>
        <v>0</v>
      </c>
      <c r="DU13" s="91"/>
      <c r="DV13" s="19"/>
      <c r="DW13" s="57">
        <f t="shared" si="47"/>
        <v>0</v>
      </c>
      <c r="DX13" s="20"/>
      <c r="DY13" s="100">
        <f t="shared" si="48"/>
        <v>0</v>
      </c>
      <c r="DZ13" s="91"/>
      <c r="EA13" s="19"/>
      <c r="EB13" s="57">
        <f t="shared" si="49"/>
        <v>0</v>
      </c>
      <c r="EC13" s="20"/>
      <c r="ED13" s="100">
        <f t="shared" si="50"/>
        <v>0</v>
      </c>
      <c r="EE13" s="91"/>
      <c r="EF13" s="19"/>
      <c r="EG13" s="57">
        <f t="shared" si="51"/>
        <v>0</v>
      </c>
      <c r="EH13" s="20"/>
      <c r="EI13" s="100">
        <f t="shared" si="52"/>
        <v>0</v>
      </c>
      <c r="EJ13" s="91"/>
      <c r="EK13" s="19"/>
      <c r="EL13" s="57">
        <f t="shared" si="53"/>
        <v>0</v>
      </c>
      <c r="EM13" s="20"/>
      <c r="EN13" s="100">
        <f t="shared" si="54"/>
        <v>0</v>
      </c>
      <c r="EO13" s="91"/>
      <c r="EP13" s="19"/>
      <c r="EQ13" s="57">
        <f t="shared" si="55"/>
        <v>0</v>
      </c>
      <c r="ER13" s="20"/>
      <c r="ES13" s="100">
        <f t="shared" si="56"/>
        <v>0</v>
      </c>
      <c r="ET13" s="55"/>
      <c r="EU13" s="55"/>
    </row>
    <row r="14" spans="1:151" x14ac:dyDescent="0.25">
      <c r="A14" s="18"/>
      <c r="B14" s="107">
        <f t="shared" si="57"/>
        <v>0</v>
      </c>
      <c r="C14" s="91"/>
      <c r="D14" s="19"/>
      <c r="E14" s="57">
        <f t="shared" si="65"/>
        <v>0</v>
      </c>
      <c r="F14" s="20"/>
      <c r="G14" s="95">
        <f t="shared" si="1"/>
        <v>0</v>
      </c>
      <c r="H14" s="120"/>
      <c r="I14" s="19"/>
      <c r="J14" s="57">
        <f t="shared" si="66"/>
        <v>0</v>
      </c>
      <c r="K14" s="20"/>
      <c r="L14" s="95">
        <f t="shared" si="2"/>
        <v>0</v>
      </c>
      <c r="M14" s="120"/>
      <c r="N14" s="19"/>
      <c r="O14" s="57">
        <f t="shared" si="3"/>
        <v>0</v>
      </c>
      <c r="P14" s="20"/>
      <c r="Q14" s="95">
        <f t="shared" si="4"/>
        <v>0</v>
      </c>
      <c r="R14" s="120"/>
      <c r="S14" s="19"/>
      <c r="T14" s="57">
        <f t="shared" si="5"/>
        <v>0</v>
      </c>
      <c r="U14" s="20"/>
      <c r="V14" s="95">
        <f t="shared" si="6"/>
        <v>0</v>
      </c>
      <c r="W14" s="120"/>
      <c r="X14" s="19"/>
      <c r="Y14" s="57">
        <f t="shared" si="7"/>
        <v>0</v>
      </c>
      <c r="Z14" s="20"/>
      <c r="AA14" s="95">
        <f t="shared" si="8"/>
        <v>0</v>
      </c>
      <c r="AB14" s="120"/>
      <c r="AC14" s="19"/>
      <c r="AD14" s="57">
        <f t="shared" si="9"/>
        <v>0</v>
      </c>
      <c r="AE14" s="20"/>
      <c r="AF14" s="95">
        <f t="shared" si="10"/>
        <v>0</v>
      </c>
      <c r="AG14" s="120"/>
      <c r="AH14" s="19"/>
      <c r="AI14" s="57">
        <f t="shared" si="11"/>
        <v>0</v>
      </c>
      <c r="AJ14" s="20"/>
      <c r="AK14" s="95">
        <f t="shared" si="12"/>
        <v>0</v>
      </c>
      <c r="AL14" s="91"/>
      <c r="AM14" s="19"/>
      <c r="AN14" s="57">
        <f t="shared" si="13"/>
        <v>0</v>
      </c>
      <c r="AO14" s="20"/>
      <c r="AP14" s="100">
        <f t="shared" si="14"/>
        <v>0</v>
      </c>
      <c r="AQ14" s="91"/>
      <c r="AR14" s="19"/>
      <c r="AS14" s="57">
        <f t="shared" si="15"/>
        <v>0</v>
      </c>
      <c r="AT14" s="20"/>
      <c r="AU14" s="100">
        <f t="shared" si="16"/>
        <v>0</v>
      </c>
      <c r="AV14" s="91"/>
      <c r="AW14" s="19"/>
      <c r="AX14" s="57">
        <f t="shared" si="17"/>
        <v>0</v>
      </c>
      <c r="AY14" s="20"/>
      <c r="AZ14" s="100">
        <f t="shared" si="18"/>
        <v>0</v>
      </c>
      <c r="BA14" s="91"/>
      <c r="BB14" s="19"/>
      <c r="BC14" s="57">
        <f t="shared" si="19"/>
        <v>0</v>
      </c>
      <c r="BD14" s="20"/>
      <c r="BE14" s="100">
        <f t="shared" si="20"/>
        <v>0</v>
      </c>
      <c r="BF14" s="91"/>
      <c r="BG14" s="19"/>
      <c r="BH14" s="57">
        <f t="shared" si="21"/>
        <v>0</v>
      </c>
      <c r="BI14" s="20"/>
      <c r="BJ14" s="100">
        <f t="shared" si="22"/>
        <v>0</v>
      </c>
      <c r="BK14" s="91"/>
      <c r="BL14" s="19"/>
      <c r="BM14" s="57">
        <f t="shared" si="23"/>
        <v>0</v>
      </c>
      <c r="BN14" s="20"/>
      <c r="BO14" s="100">
        <f t="shared" si="24"/>
        <v>0</v>
      </c>
      <c r="BP14" s="91"/>
      <c r="BQ14" s="19"/>
      <c r="BR14" s="57">
        <f t="shared" si="25"/>
        <v>0</v>
      </c>
      <c r="BS14" s="20"/>
      <c r="BT14" s="100">
        <f t="shared" si="26"/>
        <v>0</v>
      </c>
      <c r="BU14" s="55"/>
      <c r="BV14" s="107">
        <f t="shared" si="59"/>
        <v>0</v>
      </c>
      <c r="BW14" s="91"/>
      <c r="BX14" s="19"/>
      <c r="BY14" s="57">
        <f t="shared" si="27"/>
        <v>0</v>
      </c>
      <c r="BZ14" s="20"/>
      <c r="CA14" s="95">
        <f t="shared" si="28"/>
        <v>0</v>
      </c>
      <c r="CB14" s="120"/>
      <c r="CC14" s="19"/>
      <c r="CD14" s="57">
        <f t="shared" si="29"/>
        <v>0</v>
      </c>
      <c r="CE14" s="20"/>
      <c r="CF14" s="95">
        <f t="shared" si="30"/>
        <v>0</v>
      </c>
      <c r="CG14" s="120"/>
      <c r="CH14" s="19"/>
      <c r="CI14" s="57">
        <f t="shared" si="31"/>
        <v>0</v>
      </c>
      <c r="CJ14" s="20"/>
      <c r="CK14" s="95">
        <f t="shared" si="32"/>
        <v>0</v>
      </c>
      <c r="CL14" s="120"/>
      <c r="CM14" s="19"/>
      <c r="CN14" s="57">
        <f t="shared" si="33"/>
        <v>0</v>
      </c>
      <c r="CO14" s="20"/>
      <c r="CP14" s="95">
        <f t="shared" si="34"/>
        <v>0</v>
      </c>
      <c r="CQ14" s="120"/>
      <c r="CR14" s="19"/>
      <c r="CS14" s="57">
        <f t="shared" si="35"/>
        <v>0</v>
      </c>
      <c r="CT14" s="20"/>
      <c r="CU14" s="95">
        <f t="shared" si="36"/>
        <v>0</v>
      </c>
      <c r="CV14" s="120"/>
      <c r="CW14" s="19"/>
      <c r="CX14" s="57">
        <f t="shared" si="37"/>
        <v>0</v>
      </c>
      <c r="CY14" s="20"/>
      <c r="CZ14" s="95">
        <f t="shared" si="38"/>
        <v>0</v>
      </c>
      <c r="DA14" s="120"/>
      <c r="DB14" s="19"/>
      <c r="DC14" s="57">
        <f t="shared" si="39"/>
        <v>0</v>
      </c>
      <c r="DD14" s="20"/>
      <c r="DE14" s="95">
        <f t="shared" si="40"/>
        <v>0</v>
      </c>
      <c r="DF14" s="91"/>
      <c r="DG14" s="19"/>
      <c r="DH14" s="57">
        <f t="shared" si="41"/>
        <v>0</v>
      </c>
      <c r="DI14" s="20"/>
      <c r="DJ14" s="100">
        <f t="shared" si="42"/>
        <v>0</v>
      </c>
      <c r="DK14" s="91"/>
      <c r="DL14" s="19"/>
      <c r="DM14" s="57">
        <f t="shared" si="43"/>
        <v>0</v>
      </c>
      <c r="DN14" s="20"/>
      <c r="DO14" s="100">
        <f t="shared" si="44"/>
        <v>0</v>
      </c>
      <c r="DP14" s="91"/>
      <c r="DQ14" s="19"/>
      <c r="DR14" s="57">
        <f t="shared" si="45"/>
        <v>0</v>
      </c>
      <c r="DS14" s="20"/>
      <c r="DT14" s="100">
        <f t="shared" si="46"/>
        <v>0</v>
      </c>
      <c r="DU14" s="91"/>
      <c r="DV14" s="19"/>
      <c r="DW14" s="57">
        <f t="shared" si="47"/>
        <v>0</v>
      </c>
      <c r="DX14" s="20"/>
      <c r="DY14" s="100">
        <f t="shared" si="48"/>
        <v>0</v>
      </c>
      <c r="DZ14" s="91"/>
      <c r="EA14" s="19"/>
      <c r="EB14" s="57">
        <f t="shared" si="49"/>
        <v>0</v>
      </c>
      <c r="EC14" s="20"/>
      <c r="ED14" s="100">
        <f t="shared" si="50"/>
        <v>0</v>
      </c>
      <c r="EE14" s="91"/>
      <c r="EF14" s="19"/>
      <c r="EG14" s="57">
        <f t="shared" si="51"/>
        <v>0</v>
      </c>
      <c r="EH14" s="20"/>
      <c r="EI14" s="100">
        <f t="shared" si="52"/>
        <v>0</v>
      </c>
      <c r="EJ14" s="91"/>
      <c r="EK14" s="19"/>
      <c r="EL14" s="57">
        <f t="shared" si="53"/>
        <v>0</v>
      </c>
      <c r="EM14" s="20"/>
      <c r="EN14" s="100">
        <f t="shared" si="54"/>
        <v>0</v>
      </c>
      <c r="EO14" s="91"/>
      <c r="EP14" s="19"/>
      <c r="EQ14" s="57">
        <f t="shared" si="55"/>
        <v>0</v>
      </c>
      <c r="ER14" s="20"/>
      <c r="ES14" s="100">
        <f t="shared" si="56"/>
        <v>0</v>
      </c>
      <c r="ET14" s="55"/>
      <c r="EU14" s="55"/>
    </row>
    <row r="15" spans="1:151" x14ac:dyDescent="0.25">
      <c r="A15" s="53" t="s">
        <v>107</v>
      </c>
      <c r="B15" s="108">
        <f>SUM(B6:B14)</f>
        <v>1698545.77</v>
      </c>
      <c r="C15" s="92"/>
      <c r="D15" s="54"/>
      <c r="E15" s="82"/>
      <c r="F15" s="17"/>
      <c r="G15" s="96">
        <f>SUM(G6:G14)</f>
        <v>1698545.77</v>
      </c>
      <c r="H15" s="121"/>
      <c r="I15" s="54"/>
      <c r="J15" s="82"/>
      <c r="K15" s="17"/>
      <c r="L15" s="96">
        <f>SUM(L6:L14)</f>
        <v>0</v>
      </c>
      <c r="M15" s="121"/>
      <c r="N15" s="54"/>
      <c r="O15" s="82"/>
      <c r="P15" s="17"/>
      <c r="Q15" s="96">
        <f>SUM(Q6:Q14)</f>
        <v>0</v>
      </c>
      <c r="R15" s="121"/>
      <c r="S15" s="54"/>
      <c r="T15" s="82"/>
      <c r="U15" s="17"/>
      <c r="V15" s="96">
        <f>SUM(V6:V14)</f>
        <v>0</v>
      </c>
      <c r="W15" s="121"/>
      <c r="X15" s="54"/>
      <c r="Y15" s="82"/>
      <c r="Z15" s="17"/>
      <c r="AA15" s="96">
        <f>SUM(AA6:AA14)</f>
        <v>0</v>
      </c>
      <c r="AB15" s="121"/>
      <c r="AC15" s="54"/>
      <c r="AD15" s="82"/>
      <c r="AE15" s="17"/>
      <c r="AF15" s="96">
        <f>SUM(AF6:AF14)</f>
        <v>0</v>
      </c>
      <c r="AG15" s="121"/>
      <c r="AH15" s="54"/>
      <c r="AI15" s="82"/>
      <c r="AJ15" s="17"/>
      <c r="AK15" s="96">
        <f>SUM(AK6:AK14)</f>
        <v>0</v>
      </c>
      <c r="AL15" s="92"/>
      <c r="AM15" s="54"/>
      <c r="AN15" s="82"/>
      <c r="AO15" s="17"/>
      <c r="AP15" s="96">
        <f>SUM(AP6:AP14)</f>
        <v>0</v>
      </c>
      <c r="AQ15" s="92"/>
      <c r="AR15" s="54"/>
      <c r="AS15" s="82"/>
      <c r="AT15" s="17"/>
      <c r="AU15" s="96">
        <f>SUM(AU6:AU14)</f>
        <v>0</v>
      </c>
      <c r="AV15" s="92"/>
      <c r="AW15" s="54"/>
      <c r="AX15" s="82"/>
      <c r="AY15" s="17"/>
      <c r="AZ15" s="96">
        <f>SUM(AZ6:AZ14)</f>
        <v>0</v>
      </c>
      <c r="BA15" s="92"/>
      <c r="BB15" s="54"/>
      <c r="BC15" s="82"/>
      <c r="BD15" s="17"/>
      <c r="BE15" s="96">
        <f>SUM(BE6:BE14)</f>
        <v>0</v>
      </c>
      <c r="BF15" s="92"/>
      <c r="BG15" s="54"/>
      <c r="BH15" s="82"/>
      <c r="BI15" s="17"/>
      <c r="BJ15" s="96">
        <f>SUM(BJ6:BJ14)</f>
        <v>0</v>
      </c>
      <c r="BK15" s="92"/>
      <c r="BL15" s="54"/>
      <c r="BM15" s="82"/>
      <c r="BN15" s="17"/>
      <c r="BO15" s="96">
        <f>SUM(BO6:BO14)</f>
        <v>0</v>
      </c>
      <c r="BP15" s="92"/>
      <c r="BQ15" s="54"/>
      <c r="BR15" s="82"/>
      <c r="BS15" s="17"/>
      <c r="BT15" s="96">
        <f>SUM(BT6:BT14)</f>
        <v>0</v>
      </c>
      <c r="BU15" s="55"/>
      <c r="BV15" s="108">
        <f>SUM(BV6:BV14)</f>
        <v>0</v>
      </c>
      <c r="BW15" s="92"/>
      <c r="BX15" s="54"/>
      <c r="BY15" s="82"/>
      <c r="BZ15" s="17"/>
      <c r="CA15" s="96">
        <f>SUM(CA6:CA14)</f>
        <v>0</v>
      </c>
      <c r="CB15" s="121"/>
      <c r="CC15" s="54"/>
      <c r="CD15" s="82"/>
      <c r="CE15" s="17"/>
      <c r="CF15" s="96">
        <f>SUM(CF6:CF14)</f>
        <v>0</v>
      </c>
      <c r="CG15" s="121"/>
      <c r="CH15" s="54"/>
      <c r="CI15" s="82"/>
      <c r="CJ15" s="17"/>
      <c r="CK15" s="96">
        <f>SUM(CK6:CK14)</f>
        <v>0</v>
      </c>
      <c r="CL15" s="121"/>
      <c r="CM15" s="54"/>
      <c r="CN15" s="82"/>
      <c r="CO15" s="17"/>
      <c r="CP15" s="96">
        <f>SUM(CP6:CP14)</f>
        <v>0</v>
      </c>
      <c r="CQ15" s="121"/>
      <c r="CR15" s="54"/>
      <c r="CS15" s="82"/>
      <c r="CT15" s="17"/>
      <c r="CU15" s="96">
        <f>SUM(CU6:CU14)</f>
        <v>0</v>
      </c>
      <c r="CV15" s="121"/>
      <c r="CW15" s="54"/>
      <c r="CX15" s="82"/>
      <c r="CY15" s="17"/>
      <c r="CZ15" s="96">
        <f>SUM(CZ6:CZ14)</f>
        <v>0</v>
      </c>
      <c r="DA15" s="121"/>
      <c r="DB15" s="54"/>
      <c r="DC15" s="82"/>
      <c r="DD15" s="17"/>
      <c r="DE15" s="96">
        <f>SUM(DE6:DE14)</f>
        <v>0</v>
      </c>
      <c r="DF15" s="92"/>
      <c r="DG15" s="54"/>
      <c r="DH15" s="82"/>
      <c r="DI15" s="17"/>
      <c r="DJ15" s="96">
        <f>SUM(DJ6:DJ14)</f>
        <v>0</v>
      </c>
      <c r="DK15" s="92"/>
      <c r="DL15" s="54"/>
      <c r="DM15" s="82"/>
      <c r="DN15" s="17"/>
      <c r="DO15" s="96">
        <f>SUM(DO6:DO14)</f>
        <v>0</v>
      </c>
      <c r="DP15" s="92"/>
      <c r="DQ15" s="54"/>
      <c r="DR15" s="82"/>
      <c r="DS15" s="17"/>
      <c r="DT15" s="96">
        <f>SUM(DT6:DT14)</f>
        <v>0</v>
      </c>
      <c r="DU15" s="92"/>
      <c r="DV15" s="54"/>
      <c r="DW15" s="82"/>
      <c r="DX15" s="17"/>
      <c r="DY15" s="96">
        <f>SUM(DY6:DY14)</f>
        <v>0</v>
      </c>
      <c r="DZ15" s="92"/>
      <c r="EA15" s="54"/>
      <c r="EB15" s="82"/>
      <c r="EC15" s="17"/>
      <c r="ED15" s="96">
        <f>SUM(ED6:ED14)</f>
        <v>0</v>
      </c>
      <c r="EE15" s="92"/>
      <c r="EF15" s="54"/>
      <c r="EG15" s="82"/>
      <c r="EH15" s="17"/>
      <c r="EI15" s="96">
        <f>SUM(EI6:EI14)</f>
        <v>0</v>
      </c>
      <c r="EJ15" s="92"/>
      <c r="EK15" s="54"/>
      <c r="EL15" s="82"/>
      <c r="EM15" s="17"/>
      <c r="EN15" s="96">
        <f>SUM(EN6:EN14)</f>
        <v>0</v>
      </c>
      <c r="EO15" s="92"/>
      <c r="EP15" s="54"/>
      <c r="EQ15" s="82"/>
      <c r="ER15" s="17"/>
      <c r="ES15" s="96">
        <f>SUM(ES6:ES14)</f>
        <v>0</v>
      </c>
      <c r="ET15" s="55"/>
      <c r="EU15" s="55"/>
    </row>
    <row r="16" spans="1:151" ht="31.5" x14ac:dyDescent="0.25">
      <c r="A16" s="58" t="s">
        <v>6</v>
      </c>
      <c r="B16" s="106"/>
      <c r="C16" s="90"/>
      <c r="D16" s="16"/>
      <c r="E16" s="81"/>
      <c r="F16" s="17"/>
      <c r="G16" s="94"/>
      <c r="H16" s="103"/>
      <c r="I16" s="16"/>
      <c r="J16" s="81"/>
      <c r="K16" s="17"/>
      <c r="L16" s="94"/>
      <c r="M16" s="103"/>
      <c r="N16" s="16"/>
      <c r="O16" s="81"/>
      <c r="P16" s="17"/>
      <c r="Q16" s="94"/>
      <c r="R16" s="103"/>
      <c r="S16" s="16"/>
      <c r="T16" s="81"/>
      <c r="U16" s="17"/>
      <c r="V16" s="94"/>
      <c r="W16" s="103"/>
      <c r="X16" s="16"/>
      <c r="Y16" s="81"/>
      <c r="Z16" s="17"/>
      <c r="AA16" s="94"/>
      <c r="AB16" s="103"/>
      <c r="AC16" s="16"/>
      <c r="AD16" s="81"/>
      <c r="AE16" s="17"/>
      <c r="AF16" s="94"/>
      <c r="AG16" s="103"/>
      <c r="AH16" s="16"/>
      <c r="AI16" s="81"/>
      <c r="AJ16" s="17"/>
      <c r="AK16" s="94"/>
      <c r="AL16" s="90"/>
      <c r="AM16" s="16"/>
      <c r="AN16" s="81"/>
      <c r="AO16" s="17"/>
      <c r="AP16" s="99"/>
      <c r="AQ16" s="90"/>
      <c r="AR16" s="16"/>
      <c r="AS16" s="81"/>
      <c r="AT16" s="17"/>
      <c r="AU16" s="99"/>
      <c r="AV16" s="90"/>
      <c r="AW16" s="16"/>
      <c r="AX16" s="81"/>
      <c r="AY16" s="17"/>
      <c r="AZ16" s="99"/>
      <c r="BA16" s="90"/>
      <c r="BB16" s="16"/>
      <c r="BC16" s="81"/>
      <c r="BD16" s="17"/>
      <c r="BE16" s="99"/>
      <c r="BF16" s="90"/>
      <c r="BG16" s="16"/>
      <c r="BH16" s="81"/>
      <c r="BI16" s="17"/>
      <c r="BJ16" s="99"/>
      <c r="BK16" s="90"/>
      <c r="BL16" s="16"/>
      <c r="BM16" s="81"/>
      <c r="BN16" s="17"/>
      <c r="BO16" s="99"/>
      <c r="BP16" s="90"/>
      <c r="BQ16" s="16"/>
      <c r="BR16" s="81"/>
      <c r="BS16" s="17"/>
      <c r="BT16" s="99"/>
      <c r="BU16" s="55"/>
      <c r="BV16" s="106"/>
      <c r="BW16" s="90"/>
      <c r="BX16" s="16"/>
      <c r="BY16" s="81"/>
      <c r="BZ16" s="17"/>
      <c r="CA16" s="94"/>
      <c r="CB16" s="103"/>
      <c r="CC16" s="16"/>
      <c r="CD16" s="81"/>
      <c r="CE16" s="17"/>
      <c r="CF16" s="94"/>
      <c r="CG16" s="103"/>
      <c r="CH16" s="16"/>
      <c r="CI16" s="81"/>
      <c r="CJ16" s="17"/>
      <c r="CK16" s="94"/>
      <c r="CL16" s="103"/>
      <c r="CM16" s="16"/>
      <c r="CN16" s="81"/>
      <c r="CO16" s="17"/>
      <c r="CP16" s="94"/>
      <c r="CQ16" s="103"/>
      <c r="CR16" s="16"/>
      <c r="CS16" s="81"/>
      <c r="CT16" s="17"/>
      <c r="CU16" s="94"/>
      <c r="CV16" s="103"/>
      <c r="CW16" s="16"/>
      <c r="CX16" s="81"/>
      <c r="CY16" s="17"/>
      <c r="CZ16" s="94"/>
      <c r="DA16" s="103"/>
      <c r="DB16" s="16"/>
      <c r="DC16" s="81"/>
      <c r="DD16" s="17"/>
      <c r="DE16" s="94"/>
      <c r="DF16" s="90"/>
      <c r="DG16" s="16"/>
      <c r="DH16" s="81"/>
      <c r="DI16" s="17"/>
      <c r="DJ16" s="99"/>
      <c r="DK16" s="90"/>
      <c r="DL16" s="16"/>
      <c r="DM16" s="81"/>
      <c r="DN16" s="17"/>
      <c r="DO16" s="99"/>
      <c r="DP16" s="90"/>
      <c r="DQ16" s="16"/>
      <c r="DR16" s="81"/>
      <c r="DS16" s="17"/>
      <c r="DT16" s="99"/>
      <c r="DU16" s="90"/>
      <c r="DV16" s="16"/>
      <c r="DW16" s="81"/>
      <c r="DX16" s="17"/>
      <c r="DY16" s="99"/>
      <c r="DZ16" s="90"/>
      <c r="EA16" s="16"/>
      <c r="EB16" s="81"/>
      <c r="EC16" s="17"/>
      <c r="ED16" s="99"/>
      <c r="EE16" s="90"/>
      <c r="EF16" s="16"/>
      <c r="EG16" s="81"/>
      <c r="EH16" s="17"/>
      <c r="EI16" s="99"/>
      <c r="EJ16" s="90"/>
      <c r="EK16" s="16"/>
      <c r="EL16" s="81"/>
      <c r="EM16" s="17"/>
      <c r="EN16" s="99"/>
      <c r="EO16" s="90"/>
      <c r="EP16" s="16"/>
      <c r="EQ16" s="81"/>
      <c r="ER16" s="17"/>
      <c r="ES16" s="99"/>
      <c r="ET16" s="55"/>
      <c r="EU16" s="55"/>
    </row>
    <row r="17" spans="1:151" x14ac:dyDescent="0.25">
      <c r="A17" s="177" t="s">
        <v>108</v>
      </c>
      <c r="B17" s="107">
        <f t="shared" ref="B17:B21" si="67">G17+L17+Q17+V17+AA17+AF17+AK17+AP17+AU17+AZ17+BE17+BJ17+BO17+BT17</f>
        <v>31080</v>
      </c>
      <c r="C17" s="91"/>
      <c r="D17" s="19"/>
      <c r="E17" s="57">
        <f t="shared" ref="E17:E21" si="68">SUM(C17*D17)</f>
        <v>0</v>
      </c>
      <c r="F17" s="20"/>
      <c r="G17" s="95">
        <f t="shared" ref="G17:G21" si="69">E17-E17*F17</f>
        <v>0</v>
      </c>
      <c r="H17" s="120"/>
      <c r="I17" s="19"/>
      <c r="J17" s="57">
        <f t="shared" ref="J17:J21" si="70">SUM(H17*I17)</f>
        <v>0</v>
      </c>
      <c r="K17" s="20"/>
      <c r="L17" s="95">
        <f t="shared" ref="L17:L21" si="71">J17-J17*K17</f>
        <v>0</v>
      </c>
      <c r="M17" s="120"/>
      <c r="N17" s="19"/>
      <c r="O17" s="57">
        <f t="shared" ref="O17:O21" si="72">SUM(M17*N17)</f>
        <v>0</v>
      </c>
      <c r="P17" s="20"/>
      <c r="Q17" s="95">
        <f t="shared" ref="Q17:Q21" si="73">O17-O17*P17</f>
        <v>0</v>
      </c>
      <c r="R17" s="120"/>
      <c r="S17" s="19"/>
      <c r="T17" s="57">
        <f t="shared" ref="T17:T21" si="74">SUM(R17*S17)</f>
        <v>0</v>
      </c>
      <c r="U17" s="20"/>
      <c r="V17" s="95">
        <f t="shared" ref="V17:V21" si="75">T17-T17*U17</f>
        <v>0</v>
      </c>
      <c r="W17" s="120"/>
      <c r="X17" s="19"/>
      <c r="Y17" s="57">
        <f t="shared" ref="Y17:Y21" si="76">SUM(W17*X17)</f>
        <v>0</v>
      </c>
      <c r="Z17" s="20"/>
      <c r="AA17" s="95">
        <f t="shared" ref="AA17:AA21" si="77">Y17-Y17*Z17</f>
        <v>0</v>
      </c>
      <c r="AB17" s="120"/>
      <c r="AC17" s="19"/>
      <c r="AD17" s="57">
        <f t="shared" ref="AD17:AD21" si="78">SUM(AB17*AC17)</f>
        <v>0</v>
      </c>
      <c r="AE17" s="20"/>
      <c r="AF17" s="95">
        <f t="shared" ref="AF17:AF21" si="79">AD17-AD17*AE17</f>
        <v>0</v>
      </c>
      <c r="AG17" s="120"/>
      <c r="AH17" s="19"/>
      <c r="AI17" s="57">
        <f t="shared" ref="AI17:AI21" si="80">SUM(AG17*AH17)</f>
        <v>0</v>
      </c>
      <c r="AJ17" s="20"/>
      <c r="AK17" s="95">
        <f t="shared" ref="AK17:AK21" si="81">AI17-AI17*AJ17</f>
        <v>0</v>
      </c>
      <c r="AL17" s="91"/>
      <c r="AM17" s="19"/>
      <c r="AN17" s="57">
        <f t="shared" ref="AN17:AN21" si="82">SUM(AL17*AM17)</f>
        <v>0</v>
      </c>
      <c r="AO17" s="20"/>
      <c r="AP17" s="100">
        <f t="shared" ref="AP17:AP21" si="83">AN17-AN17*AO17</f>
        <v>0</v>
      </c>
      <c r="AQ17" s="91"/>
      <c r="AR17" s="19"/>
      <c r="AS17" s="57">
        <f t="shared" ref="AS17:AS21" si="84">SUM(AQ17*AR17)</f>
        <v>0</v>
      </c>
      <c r="AT17" s="20"/>
      <c r="AU17" s="100">
        <f t="shared" ref="AU17:AU21" si="85">AS17-AS17*AT17</f>
        <v>0</v>
      </c>
      <c r="AV17" s="91"/>
      <c r="AW17" s="19"/>
      <c r="AX17" s="57">
        <f t="shared" ref="AX17:AX21" si="86">SUM(AV17*AW17)</f>
        <v>0</v>
      </c>
      <c r="AY17" s="20"/>
      <c r="AZ17" s="100">
        <f t="shared" ref="AZ17:AZ21" si="87">AX17-AX17*AY17</f>
        <v>0</v>
      </c>
      <c r="BA17" s="190">
        <v>21000</v>
      </c>
      <c r="BB17" s="19">
        <v>1</v>
      </c>
      <c r="BC17" s="57">
        <f t="shared" ref="BC17" si="88">SUM(BA17*BB17)</f>
        <v>21000</v>
      </c>
      <c r="BD17" s="20">
        <v>0.26</v>
      </c>
      <c r="BE17" s="176">
        <f t="shared" ref="BE17" si="89">BC17-BC17*BD17</f>
        <v>15540</v>
      </c>
      <c r="BF17" s="190">
        <v>21000</v>
      </c>
      <c r="BG17" s="19">
        <v>1</v>
      </c>
      <c r="BH17" s="57">
        <f t="shared" ref="BH17" si="90">SUM(BF17*BG17)</f>
        <v>21000</v>
      </c>
      <c r="BI17" s="20">
        <v>0.26</v>
      </c>
      <c r="BJ17" s="100">
        <f t="shared" ref="BJ17:BJ21" si="91">BH17-BH17*BI17</f>
        <v>15540</v>
      </c>
      <c r="BK17" s="91"/>
      <c r="BL17" s="19"/>
      <c r="BM17" s="57">
        <f t="shared" ref="BM17:BM21" si="92">SUM(BK17*BL17)</f>
        <v>0</v>
      </c>
      <c r="BN17" s="20"/>
      <c r="BO17" s="100">
        <f t="shared" ref="BO17:BO21" si="93">BM17-BM17*BN17</f>
        <v>0</v>
      </c>
      <c r="BP17" s="91"/>
      <c r="BQ17" s="19"/>
      <c r="BR17" s="57">
        <f t="shared" ref="BR17:BR21" si="94">SUM(BP17*BQ17)</f>
        <v>0</v>
      </c>
      <c r="BS17" s="20"/>
      <c r="BT17" s="100">
        <f t="shared" ref="BT17:BT21" si="95">BR17-BR17*BS17</f>
        <v>0</v>
      </c>
      <c r="BU17" s="55"/>
      <c r="BV17" s="107">
        <f>CA17+CF17+CK17+CP17+CU17+CZ17+DE17+DJ17+DO17+DT17+DY17+ED17+EI17+EN17+ES17</f>
        <v>77700</v>
      </c>
      <c r="BW17" s="193">
        <v>21000</v>
      </c>
      <c r="BX17" s="189">
        <v>1</v>
      </c>
      <c r="BY17" s="57">
        <f t="shared" ref="BY17:BY21" si="96">SUM(BW17*BX17)</f>
        <v>21000</v>
      </c>
      <c r="BZ17" s="20">
        <v>0.26</v>
      </c>
      <c r="CA17" s="95">
        <f t="shared" ref="CA17:CA21" si="97">BY17-BY17*BZ17</f>
        <v>15540</v>
      </c>
      <c r="CB17" s="193">
        <v>21000</v>
      </c>
      <c r="CC17" s="189">
        <v>1</v>
      </c>
      <c r="CD17" s="57">
        <f t="shared" ref="CD17" si="98">SUM(CB17*CC17)</f>
        <v>21000</v>
      </c>
      <c r="CE17" s="20">
        <v>0.26</v>
      </c>
      <c r="CF17" s="95">
        <f t="shared" ref="CF17:CF21" si="99">CD17-CD17*CE17</f>
        <v>15540</v>
      </c>
      <c r="CG17" s="193">
        <v>21000</v>
      </c>
      <c r="CH17" s="189">
        <v>1</v>
      </c>
      <c r="CI17" s="57">
        <f t="shared" ref="CI17" si="100">SUM(CG17*CH17)</f>
        <v>21000</v>
      </c>
      <c r="CJ17" s="20">
        <v>0.26</v>
      </c>
      <c r="CK17" s="95">
        <f t="shared" ref="CK17:CK21" si="101">CI17-CI17*CJ17</f>
        <v>15540</v>
      </c>
      <c r="CL17" s="193">
        <v>21000</v>
      </c>
      <c r="CM17" s="189">
        <v>1</v>
      </c>
      <c r="CN17" s="57">
        <f t="shared" ref="CN17" si="102">SUM(CL17*CM17)</f>
        <v>21000</v>
      </c>
      <c r="CO17" s="20">
        <v>0.26</v>
      </c>
      <c r="CP17" s="95">
        <f t="shared" ref="CP17:CP21" si="103">CN17-CN17*CO17</f>
        <v>15540</v>
      </c>
      <c r="CQ17" s="193">
        <v>21000</v>
      </c>
      <c r="CR17" s="189">
        <v>1</v>
      </c>
      <c r="CS17" s="57">
        <f t="shared" ref="CS17" si="104">SUM(CQ17*CR17)</f>
        <v>21000</v>
      </c>
      <c r="CT17" s="20">
        <v>0.26</v>
      </c>
      <c r="CU17" s="95">
        <f t="shared" ref="CU17:CU21" si="105">CS17-CS17*CT17</f>
        <v>15540</v>
      </c>
      <c r="CV17" s="120"/>
      <c r="CW17" s="19"/>
      <c r="CX17" s="57">
        <f t="shared" ref="CX17:CX21" si="106">SUM(CV17*CW17)</f>
        <v>0</v>
      </c>
      <c r="CY17" s="20"/>
      <c r="CZ17" s="95">
        <f t="shared" ref="CZ17:CZ21" si="107">CX17-CX17*CY17</f>
        <v>0</v>
      </c>
      <c r="DA17" s="120"/>
      <c r="DB17" s="19"/>
      <c r="DC17" s="57">
        <f t="shared" ref="DC17:DC21" si="108">SUM(DA17*DB17)</f>
        <v>0</v>
      </c>
      <c r="DD17" s="20"/>
      <c r="DE17" s="95">
        <f t="shared" ref="DE17:DE21" si="109">DC17-DC17*DD17</f>
        <v>0</v>
      </c>
      <c r="DF17" s="91"/>
      <c r="DG17" s="19"/>
      <c r="DH17" s="57">
        <f t="shared" ref="DH17:DH21" si="110">SUM(DF17*DG17)</f>
        <v>0</v>
      </c>
      <c r="DI17" s="20"/>
      <c r="DJ17" s="100">
        <f t="shared" ref="DJ17:DJ21" si="111">DH17-DH17*DI17</f>
        <v>0</v>
      </c>
      <c r="DK17" s="91"/>
      <c r="DL17" s="19"/>
      <c r="DM17" s="57">
        <f t="shared" ref="DM17:DM21" si="112">SUM(DK17*DL17)</f>
        <v>0</v>
      </c>
      <c r="DN17" s="20"/>
      <c r="DO17" s="100">
        <f t="shared" ref="DO17:DO21" si="113">DM17-DM17*DN17</f>
        <v>0</v>
      </c>
      <c r="DP17" s="91"/>
      <c r="DQ17" s="19"/>
      <c r="DR17" s="57">
        <f t="shared" ref="DR17:DR21" si="114">SUM(DP17*DQ17)</f>
        <v>0</v>
      </c>
      <c r="DS17" s="20"/>
      <c r="DT17" s="100">
        <f t="shared" ref="DT17:DT21" si="115">DR17-DR17*DS17</f>
        <v>0</v>
      </c>
      <c r="DU17" s="91"/>
      <c r="DV17" s="19"/>
      <c r="DW17" s="57">
        <f t="shared" ref="DW17:DW21" si="116">SUM(DU17*DV17)</f>
        <v>0</v>
      </c>
      <c r="DX17" s="20"/>
      <c r="DY17" s="100">
        <f t="shared" ref="DY17:DY21" si="117">DW17-DW17*DX17</f>
        <v>0</v>
      </c>
      <c r="DZ17" s="91"/>
      <c r="EA17" s="19"/>
      <c r="EB17" s="57">
        <f t="shared" ref="EB17:EB21" si="118">SUM(DZ17*EA17)</f>
        <v>0</v>
      </c>
      <c r="EC17" s="20"/>
      <c r="ED17" s="100">
        <f t="shared" ref="ED17:ED21" si="119">EB17-EB17*EC17</f>
        <v>0</v>
      </c>
      <c r="EE17" s="91"/>
      <c r="EF17" s="19"/>
      <c r="EG17" s="57">
        <f t="shared" ref="EG17:EG21" si="120">SUM(EE17*EF17)</f>
        <v>0</v>
      </c>
      <c r="EH17" s="20"/>
      <c r="EI17" s="100">
        <f t="shared" ref="EI17:EI21" si="121">EG17-EG17*EH17</f>
        <v>0</v>
      </c>
      <c r="EJ17" s="91"/>
      <c r="EK17" s="19"/>
      <c r="EL17" s="57">
        <f t="shared" ref="EL17:EL21" si="122">SUM(EJ17*EK17)</f>
        <v>0</v>
      </c>
      <c r="EM17" s="20"/>
      <c r="EN17" s="100">
        <f t="shared" ref="EN17:EN21" si="123">EL17-EL17*EM17</f>
        <v>0</v>
      </c>
      <c r="EO17" s="91"/>
      <c r="EP17" s="19"/>
      <c r="EQ17" s="57">
        <f t="shared" ref="EQ17:EQ21" si="124">SUM(EO17*EP17)</f>
        <v>0</v>
      </c>
      <c r="ER17" s="20"/>
      <c r="ES17" s="100">
        <f t="shared" ref="ES17:ES21" si="125">EQ17-EQ17*ER17</f>
        <v>0</v>
      </c>
      <c r="ET17" s="55"/>
      <c r="EU17" s="55"/>
    </row>
    <row r="18" spans="1:151" x14ac:dyDescent="0.25">
      <c r="A18" s="177" t="s">
        <v>109</v>
      </c>
      <c r="B18" s="107">
        <f t="shared" si="67"/>
        <v>93240</v>
      </c>
      <c r="C18" s="91"/>
      <c r="D18" s="19"/>
      <c r="E18" s="57">
        <f t="shared" si="68"/>
        <v>0</v>
      </c>
      <c r="F18" s="20"/>
      <c r="G18" s="95">
        <f t="shared" si="69"/>
        <v>0</v>
      </c>
      <c r="H18" s="120"/>
      <c r="I18" s="19"/>
      <c r="J18" s="57">
        <f t="shared" si="70"/>
        <v>0</v>
      </c>
      <c r="K18" s="20"/>
      <c r="L18" s="95">
        <f t="shared" si="71"/>
        <v>0</v>
      </c>
      <c r="M18" s="190">
        <v>21000</v>
      </c>
      <c r="N18" s="19">
        <v>1</v>
      </c>
      <c r="O18" s="57">
        <f t="shared" si="72"/>
        <v>21000</v>
      </c>
      <c r="P18" s="20">
        <v>0.26</v>
      </c>
      <c r="Q18" s="176">
        <f t="shared" si="73"/>
        <v>15540</v>
      </c>
      <c r="R18" s="190">
        <v>21000</v>
      </c>
      <c r="S18" s="19">
        <v>1</v>
      </c>
      <c r="T18" s="57">
        <f t="shared" si="74"/>
        <v>21000</v>
      </c>
      <c r="U18" s="20">
        <v>0.26</v>
      </c>
      <c r="V18" s="95">
        <f t="shared" si="75"/>
        <v>15540</v>
      </c>
      <c r="W18" s="190">
        <v>21000</v>
      </c>
      <c r="X18" s="19">
        <v>1</v>
      </c>
      <c r="Y18" s="57">
        <f t="shared" si="76"/>
        <v>21000</v>
      </c>
      <c r="Z18" s="20">
        <v>0.26</v>
      </c>
      <c r="AA18" s="176">
        <f t="shared" si="77"/>
        <v>15540</v>
      </c>
      <c r="AB18" s="190">
        <v>21000</v>
      </c>
      <c r="AC18" s="19">
        <v>1</v>
      </c>
      <c r="AD18" s="57">
        <f t="shared" si="78"/>
        <v>21000</v>
      </c>
      <c r="AE18" s="20">
        <v>0.26</v>
      </c>
      <c r="AF18" s="95">
        <f t="shared" si="79"/>
        <v>15540</v>
      </c>
      <c r="AG18" s="175">
        <v>15000</v>
      </c>
      <c r="AH18" s="189">
        <v>0</v>
      </c>
      <c r="AI18" s="57">
        <f t="shared" si="80"/>
        <v>0</v>
      </c>
      <c r="AJ18" s="20">
        <v>0.26</v>
      </c>
      <c r="AK18" s="176">
        <f t="shared" si="81"/>
        <v>0</v>
      </c>
      <c r="AL18" s="175">
        <v>15000</v>
      </c>
      <c r="AM18" s="189">
        <v>0</v>
      </c>
      <c r="AN18" s="57">
        <f t="shared" si="82"/>
        <v>0</v>
      </c>
      <c r="AO18" s="20">
        <v>0.26</v>
      </c>
      <c r="AP18" s="100">
        <f t="shared" si="83"/>
        <v>0</v>
      </c>
      <c r="AQ18" s="190">
        <v>21000</v>
      </c>
      <c r="AR18" s="19">
        <v>1</v>
      </c>
      <c r="AS18" s="57">
        <f t="shared" si="84"/>
        <v>21000</v>
      </c>
      <c r="AT18" s="20">
        <v>0.26</v>
      </c>
      <c r="AU18" s="176">
        <f t="shared" si="85"/>
        <v>15540</v>
      </c>
      <c r="AV18" s="190">
        <v>21000</v>
      </c>
      <c r="AW18" s="19">
        <v>1</v>
      </c>
      <c r="AX18" s="57">
        <f t="shared" si="86"/>
        <v>21000</v>
      </c>
      <c r="AY18" s="20">
        <v>0.26</v>
      </c>
      <c r="AZ18" s="100">
        <f t="shared" si="87"/>
        <v>15540</v>
      </c>
      <c r="BA18" s="91"/>
      <c r="BB18" s="19"/>
      <c r="BC18" s="57">
        <f t="shared" ref="BC18:BC21" si="126">SUM(BA18*BB18)</f>
        <v>0</v>
      </c>
      <c r="BD18" s="20"/>
      <c r="BE18" s="100">
        <f t="shared" ref="BE18:BE21" si="127">BC18-BC18*BD18</f>
        <v>0</v>
      </c>
      <c r="BF18" s="91"/>
      <c r="BG18" s="19"/>
      <c r="BH18" s="57">
        <f t="shared" ref="BH18:BH21" si="128">SUM(BF18*BG18)</f>
        <v>0</v>
      </c>
      <c r="BI18" s="20"/>
      <c r="BJ18" s="100">
        <f t="shared" si="91"/>
        <v>0</v>
      </c>
      <c r="BK18" s="175">
        <v>15000</v>
      </c>
      <c r="BL18" s="189">
        <v>0</v>
      </c>
      <c r="BM18" s="57">
        <f t="shared" si="92"/>
        <v>0</v>
      </c>
      <c r="BN18" s="20">
        <v>0.26</v>
      </c>
      <c r="BO18" s="100">
        <f t="shared" si="93"/>
        <v>0</v>
      </c>
      <c r="BP18" s="91"/>
      <c r="BQ18" s="19"/>
      <c r="BR18" s="57">
        <f t="shared" si="94"/>
        <v>0</v>
      </c>
      <c r="BS18" s="20"/>
      <c r="BT18" s="100">
        <f t="shared" si="95"/>
        <v>0</v>
      </c>
      <c r="BU18" s="55"/>
      <c r="BV18" s="107">
        <f t="shared" ref="BV18:BV21" si="129">CA18+CF18+CK18+CP18+CU18+CZ18+DE18+DJ18+DO18+DT18+DY18+ED18+EI18+EN18+ES18</f>
        <v>0</v>
      </c>
      <c r="BW18" s="91"/>
      <c r="BX18" s="19"/>
      <c r="BY18" s="57">
        <f t="shared" si="96"/>
        <v>0</v>
      </c>
      <c r="BZ18" s="20"/>
      <c r="CA18" s="95">
        <f t="shared" si="97"/>
        <v>0</v>
      </c>
      <c r="CB18" s="120"/>
      <c r="CC18" s="19"/>
      <c r="CD18" s="57">
        <f t="shared" ref="CD18:CD21" si="130">SUM(CB18*CC18)</f>
        <v>0</v>
      </c>
      <c r="CE18" s="20"/>
      <c r="CF18" s="95">
        <f t="shared" si="99"/>
        <v>0</v>
      </c>
      <c r="CG18" s="120"/>
      <c r="CH18" s="19"/>
      <c r="CI18" s="57">
        <f t="shared" ref="CI18:CI21" si="131">SUM(CG18*CH18)</f>
        <v>0</v>
      </c>
      <c r="CJ18" s="20"/>
      <c r="CK18" s="95">
        <f t="shared" si="101"/>
        <v>0</v>
      </c>
      <c r="CL18" s="120"/>
      <c r="CM18" s="19"/>
      <c r="CN18" s="57">
        <f t="shared" ref="CN18:CN21" si="132">SUM(CL18*CM18)</f>
        <v>0</v>
      </c>
      <c r="CO18" s="20"/>
      <c r="CP18" s="95">
        <f t="shared" si="103"/>
        <v>0</v>
      </c>
      <c r="CQ18" s="120"/>
      <c r="CR18" s="19"/>
      <c r="CS18" s="57">
        <f t="shared" ref="CS18:CS21" si="133">SUM(CQ18*CR18)</f>
        <v>0</v>
      </c>
      <c r="CT18" s="20"/>
      <c r="CU18" s="95">
        <f t="shared" si="105"/>
        <v>0</v>
      </c>
      <c r="CV18" s="120"/>
      <c r="CW18" s="19"/>
      <c r="CX18" s="57">
        <f t="shared" si="106"/>
        <v>0</v>
      </c>
      <c r="CY18" s="20"/>
      <c r="CZ18" s="95">
        <f t="shared" si="107"/>
        <v>0</v>
      </c>
      <c r="DA18" s="120"/>
      <c r="DB18" s="19"/>
      <c r="DC18" s="57">
        <f t="shared" si="108"/>
        <v>0</v>
      </c>
      <c r="DD18" s="20"/>
      <c r="DE18" s="95">
        <f t="shared" si="109"/>
        <v>0</v>
      </c>
      <c r="DF18" s="91"/>
      <c r="DG18" s="19"/>
      <c r="DH18" s="57">
        <f t="shared" si="110"/>
        <v>0</v>
      </c>
      <c r="DI18" s="20"/>
      <c r="DJ18" s="100">
        <f t="shared" si="111"/>
        <v>0</v>
      </c>
      <c r="DK18" s="91"/>
      <c r="DL18" s="19"/>
      <c r="DM18" s="57">
        <f t="shared" si="112"/>
        <v>0</v>
      </c>
      <c r="DN18" s="20"/>
      <c r="DO18" s="100">
        <f t="shared" si="113"/>
        <v>0</v>
      </c>
      <c r="DP18" s="91"/>
      <c r="DQ18" s="19"/>
      <c r="DR18" s="57">
        <f t="shared" si="114"/>
        <v>0</v>
      </c>
      <c r="DS18" s="20"/>
      <c r="DT18" s="100">
        <f t="shared" si="115"/>
        <v>0</v>
      </c>
      <c r="DU18" s="91"/>
      <c r="DV18" s="19"/>
      <c r="DW18" s="57">
        <f t="shared" si="116"/>
        <v>0</v>
      </c>
      <c r="DX18" s="20"/>
      <c r="DY18" s="100">
        <f t="shared" si="117"/>
        <v>0</v>
      </c>
      <c r="DZ18" s="91"/>
      <c r="EA18" s="19"/>
      <c r="EB18" s="57">
        <f t="shared" si="118"/>
        <v>0</v>
      </c>
      <c r="EC18" s="20"/>
      <c r="ED18" s="100">
        <f t="shared" si="119"/>
        <v>0</v>
      </c>
      <c r="EE18" s="91"/>
      <c r="EF18" s="19"/>
      <c r="EG18" s="57">
        <f t="shared" si="120"/>
        <v>0</v>
      </c>
      <c r="EH18" s="20"/>
      <c r="EI18" s="100">
        <f t="shared" si="121"/>
        <v>0</v>
      </c>
      <c r="EJ18" s="91"/>
      <c r="EK18" s="19"/>
      <c r="EL18" s="57">
        <f t="shared" si="122"/>
        <v>0</v>
      </c>
      <c r="EM18" s="20"/>
      <c r="EN18" s="100">
        <f t="shared" si="123"/>
        <v>0</v>
      </c>
      <c r="EO18" s="91"/>
      <c r="EP18" s="19"/>
      <c r="EQ18" s="57">
        <f t="shared" si="124"/>
        <v>0</v>
      </c>
      <c r="ER18" s="20"/>
      <c r="ES18" s="100">
        <f t="shared" si="125"/>
        <v>0</v>
      </c>
      <c r="ET18" s="55"/>
      <c r="EU18" s="55"/>
    </row>
    <row r="19" spans="1:151" x14ac:dyDescent="0.25">
      <c r="A19" s="177" t="s">
        <v>110</v>
      </c>
      <c r="B19" s="107">
        <f t="shared" si="67"/>
        <v>15540</v>
      </c>
      <c r="C19" s="91"/>
      <c r="D19" s="19"/>
      <c r="E19" s="57">
        <f t="shared" si="68"/>
        <v>0</v>
      </c>
      <c r="F19" s="20"/>
      <c r="G19" s="95">
        <f t="shared" si="69"/>
        <v>0</v>
      </c>
      <c r="H19" s="120"/>
      <c r="I19" s="19"/>
      <c r="J19" s="57">
        <f t="shared" si="70"/>
        <v>0</v>
      </c>
      <c r="K19" s="20"/>
      <c r="L19" s="95">
        <f t="shared" si="71"/>
        <v>0</v>
      </c>
      <c r="M19" s="120"/>
      <c r="N19" s="19"/>
      <c r="O19" s="57">
        <f t="shared" si="72"/>
        <v>0</v>
      </c>
      <c r="P19" s="20"/>
      <c r="Q19" s="95">
        <f t="shared" si="73"/>
        <v>0</v>
      </c>
      <c r="R19" s="120"/>
      <c r="S19" s="19"/>
      <c r="T19" s="57">
        <f t="shared" si="74"/>
        <v>0</v>
      </c>
      <c r="U19" s="20"/>
      <c r="V19" s="95">
        <f t="shared" si="75"/>
        <v>0</v>
      </c>
      <c r="W19" s="120"/>
      <c r="X19" s="19"/>
      <c r="Y19" s="57">
        <f t="shared" si="76"/>
        <v>0</v>
      </c>
      <c r="Z19" s="20"/>
      <c r="AA19" s="95">
        <f t="shared" si="77"/>
        <v>0</v>
      </c>
      <c r="AB19" s="120"/>
      <c r="AC19" s="19"/>
      <c r="AD19" s="57">
        <f t="shared" si="78"/>
        <v>0</v>
      </c>
      <c r="AE19" s="20"/>
      <c r="AF19" s="95">
        <f t="shared" si="79"/>
        <v>0</v>
      </c>
      <c r="AG19" s="120"/>
      <c r="AH19" s="19"/>
      <c r="AI19" s="57">
        <f t="shared" si="80"/>
        <v>0</v>
      </c>
      <c r="AJ19" s="20"/>
      <c r="AK19" s="95">
        <f t="shared" si="81"/>
        <v>0</v>
      </c>
      <c r="AL19" s="91"/>
      <c r="AM19" s="19"/>
      <c r="AN19" s="57">
        <f t="shared" si="82"/>
        <v>0</v>
      </c>
      <c r="AO19" s="20"/>
      <c r="AP19" s="100">
        <f t="shared" si="83"/>
        <v>0</v>
      </c>
      <c r="AQ19" s="91"/>
      <c r="AR19" s="19"/>
      <c r="AS19" s="57">
        <f t="shared" si="84"/>
        <v>0</v>
      </c>
      <c r="AT19" s="20"/>
      <c r="AU19" s="100">
        <f t="shared" si="85"/>
        <v>0</v>
      </c>
      <c r="AV19" s="91"/>
      <c r="AW19" s="19"/>
      <c r="AX19" s="57">
        <f t="shared" si="86"/>
        <v>0</v>
      </c>
      <c r="AY19" s="20"/>
      <c r="AZ19" s="100">
        <f t="shared" si="87"/>
        <v>0</v>
      </c>
      <c r="BA19" s="91"/>
      <c r="BB19" s="19"/>
      <c r="BC19" s="57">
        <f t="shared" si="126"/>
        <v>0</v>
      </c>
      <c r="BD19" s="20"/>
      <c r="BE19" s="100">
        <f t="shared" si="127"/>
        <v>0</v>
      </c>
      <c r="BF19" s="91"/>
      <c r="BG19" s="19"/>
      <c r="BH19" s="57">
        <f t="shared" si="128"/>
        <v>0</v>
      </c>
      <c r="BI19" s="20"/>
      <c r="BJ19" s="100">
        <f t="shared" si="91"/>
        <v>0</v>
      </c>
      <c r="BK19" s="91"/>
      <c r="BL19" s="19"/>
      <c r="BM19" s="57">
        <f t="shared" si="92"/>
        <v>0</v>
      </c>
      <c r="BN19" s="20"/>
      <c r="BO19" s="100">
        <f t="shared" si="93"/>
        <v>0</v>
      </c>
      <c r="BP19" s="175">
        <v>21000</v>
      </c>
      <c r="BQ19" s="19">
        <v>1</v>
      </c>
      <c r="BR19" s="57">
        <f t="shared" si="94"/>
        <v>21000</v>
      </c>
      <c r="BS19" s="20">
        <v>0.26</v>
      </c>
      <c r="BT19" s="100">
        <f t="shared" si="95"/>
        <v>15540</v>
      </c>
      <c r="BU19" s="55"/>
      <c r="BV19" s="107">
        <f t="shared" si="129"/>
        <v>0</v>
      </c>
      <c r="BW19" s="91"/>
      <c r="BX19" s="19"/>
      <c r="BY19" s="57">
        <f t="shared" si="96"/>
        <v>0</v>
      </c>
      <c r="BZ19" s="20"/>
      <c r="CA19" s="95">
        <f t="shared" si="97"/>
        <v>0</v>
      </c>
      <c r="CB19" s="120"/>
      <c r="CC19" s="19"/>
      <c r="CD19" s="57">
        <f t="shared" si="130"/>
        <v>0</v>
      </c>
      <c r="CE19" s="20"/>
      <c r="CF19" s="95">
        <f t="shared" si="99"/>
        <v>0</v>
      </c>
      <c r="CG19" s="120"/>
      <c r="CH19" s="19"/>
      <c r="CI19" s="57">
        <f t="shared" si="131"/>
        <v>0</v>
      </c>
      <c r="CJ19" s="20"/>
      <c r="CK19" s="95">
        <f t="shared" si="101"/>
        <v>0</v>
      </c>
      <c r="CL19" s="120"/>
      <c r="CM19" s="19"/>
      <c r="CN19" s="57">
        <f t="shared" si="132"/>
        <v>0</v>
      </c>
      <c r="CO19" s="20"/>
      <c r="CP19" s="95">
        <f t="shared" si="103"/>
        <v>0</v>
      </c>
      <c r="CQ19" s="120"/>
      <c r="CR19" s="19"/>
      <c r="CS19" s="57">
        <f t="shared" si="133"/>
        <v>0</v>
      </c>
      <c r="CT19" s="20"/>
      <c r="CU19" s="95">
        <f t="shared" si="105"/>
        <v>0</v>
      </c>
      <c r="CV19" s="120"/>
      <c r="CW19" s="19"/>
      <c r="CX19" s="57">
        <f t="shared" si="106"/>
        <v>0</v>
      </c>
      <c r="CY19" s="20"/>
      <c r="CZ19" s="95">
        <f t="shared" si="107"/>
        <v>0</v>
      </c>
      <c r="DA19" s="120"/>
      <c r="DB19" s="19"/>
      <c r="DC19" s="57">
        <f t="shared" si="108"/>
        <v>0</v>
      </c>
      <c r="DD19" s="20"/>
      <c r="DE19" s="95">
        <f t="shared" si="109"/>
        <v>0</v>
      </c>
      <c r="DF19" s="91"/>
      <c r="DG19" s="19"/>
      <c r="DH19" s="57">
        <f t="shared" si="110"/>
        <v>0</v>
      </c>
      <c r="DI19" s="20"/>
      <c r="DJ19" s="100">
        <f t="shared" si="111"/>
        <v>0</v>
      </c>
      <c r="DK19" s="91"/>
      <c r="DL19" s="19"/>
      <c r="DM19" s="57">
        <f t="shared" si="112"/>
        <v>0</v>
      </c>
      <c r="DN19" s="20"/>
      <c r="DO19" s="100">
        <f t="shared" si="113"/>
        <v>0</v>
      </c>
      <c r="DP19" s="91"/>
      <c r="DQ19" s="19"/>
      <c r="DR19" s="57">
        <f t="shared" si="114"/>
        <v>0</v>
      </c>
      <c r="DS19" s="20"/>
      <c r="DT19" s="100">
        <f t="shared" si="115"/>
        <v>0</v>
      </c>
      <c r="DU19" s="91"/>
      <c r="DV19" s="19"/>
      <c r="DW19" s="57">
        <f t="shared" si="116"/>
        <v>0</v>
      </c>
      <c r="DX19" s="20"/>
      <c r="DY19" s="100">
        <f t="shared" si="117"/>
        <v>0</v>
      </c>
      <c r="DZ19" s="91"/>
      <c r="EA19" s="19"/>
      <c r="EB19" s="57">
        <f t="shared" si="118"/>
        <v>0</v>
      </c>
      <c r="EC19" s="20"/>
      <c r="ED19" s="100">
        <f t="shared" si="119"/>
        <v>0</v>
      </c>
      <c r="EE19" s="91"/>
      <c r="EF19" s="19"/>
      <c r="EG19" s="57">
        <f t="shared" si="120"/>
        <v>0</v>
      </c>
      <c r="EH19" s="20"/>
      <c r="EI19" s="100">
        <f t="shared" si="121"/>
        <v>0</v>
      </c>
      <c r="EJ19" s="91"/>
      <c r="EK19" s="19"/>
      <c r="EL19" s="57">
        <f t="shared" si="122"/>
        <v>0</v>
      </c>
      <c r="EM19" s="20"/>
      <c r="EN19" s="100">
        <f t="shared" si="123"/>
        <v>0</v>
      </c>
      <c r="EO19" s="91"/>
      <c r="EP19" s="19"/>
      <c r="EQ19" s="57">
        <f t="shared" si="124"/>
        <v>0</v>
      </c>
      <c r="ER19" s="20"/>
      <c r="ES19" s="100">
        <f t="shared" si="125"/>
        <v>0</v>
      </c>
      <c r="ET19" s="55"/>
      <c r="EU19" s="55"/>
    </row>
    <row r="20" spans="1:151" x14ac:dyDescent="0.25">
      <c r="A20" s="18">
        <f>+B17/15540</f>
        <v>2</v>
      </c>
      <c r="B20" s="107">
        <f t="shared" si="67"/>
        <v>0</v>
      </c>
      <c r="C20" s="91"/>
      <c r="D20" s="19"/>
      <c r="E20" s="57">
        <f t="shared" si="68"/>
        <v>0</v>
      </c>
      <c r="F20" s="20"/>
      <c r="G20" s="95">
        <f t="shared" si="69"/>
        <v>0</v>
      </c>
      <c r="H20" s="120"/>
      <c r="I20" s="19"/>
      <c r="J20" s="57">
        <f t="shared" si="70"/>
        <v>0</v>
      </c>
      <c r="K20" s="20"/>
      <c r="L20" s="95">
        <f t="shared" si="71"/>
        <v>0</v>
      </c>
      <c r="M20" s="120"/>
      <c r="N20" s="19"/>
      <c r="O20" s="57">
        <f t="shared" si="72"/>
        <v>0</v>
      </c>
      <c r="P20" s="20"/>
      <c r="Q20" s="95">
        <f t="shared" si="73"/>
        <v>0</v>
      </c>
      <c r="R20" s="120"/>
      <c r="S20" s="19"/>
      <c r="T20" s="57">
        <f t="shared" si="74"/>
        <v>0</v>
      </c>
      <c r="U20" s="20"/>
      <c r="V20" s="95">
        <f t="shared" si="75"/>
        <v>0</v>
      </c>
      <c r="W20" s="120"/>
      <c r="X20" s="19"/>
      <c r="Y20" s="57">
        <f t="shared" si="76"/>
        <v>0</v>
      </c>
      <c r="Z20" s="20"/>
      <c r="AA20" s="95">
        <f t="shared" si="77"/>
        <v>0</v>
      </c>
      <c r="AB20" s="120"/>
      <c r="AC20" s="19"/>
      <c r="AD20" s="57">
        <f t="shared" si="78"/>
        <v>0</v>
      </c>
      <c r="AE20" s="20"/>
      <c r="AF20" s="95">
        <f t="shared" si="79"/>
        <v>0</v>
      </c>
      <c r="AG20" s="120"/>
      <c r="AH20" s="19"/>
      <c r="AI20" s="57">
        <f t="shared" si="80"/>
        <v>0</v>
      </c>
      <c r="AJ20" s="20"/>
      <c r="AK20" s="95">
        <f t="shared" si="81"/>
        <v>0</v>
      </c>
      <c r="AL20" s="91"/>
      <c r="AM20" s="19"/>
      <c r="AN20" s="57">
        <f t="shared" si="82"/>
        <v>0</v>
      </c>
      <c r="AO20" s="20"/>
      <c r="AP20" s="100">
        <f t="shared" si="83"/>
        <v>0</v>
      </c>
      <c r="AQ20" s="91"/>
      <c r="AR20" s="19"/>
      <c r="AS20" s="57">
        <f t="shared" si="84"/>
        <v>0</v>
      </c>
      <c r="AT20" s="20"/>
      <c r="AU20" s="100">
        <f t="shared" si="85"/>
        <v>0</v>
      </c>
      <c r="AV20" s="91"/>
      <c r="AW20" s="19"/>
      <c r="AX20" s="57">
        <f t="shared" si="86"/>
        <v>0</v>
      </c>
      <c r="AY20" s="20"/>
      <c r="AZ20" s="100">
        <f t="shared" si="87"/>
        <v>0</v>
      </c>
      <c r="BA20" s="91"/>
      <c r="BB20" s="19"/>
      <c r="BC20" s="57">
        <f t="shared" si="126"/>
        <v>0</v>
      </c>
      <c r="BD20" s="20"/>
      <c r="BE20" s="100">
        <f t="shared" si="127"/>
        <v>0</v>
      </c>
      <c r="BF20" s="91"/>
      <c r="BG20" s="19"/>
      <c r="BH20" s="57">
        <f t="shared" si="128"/>
        <v>0</v>
      </c>
      <c r="BI20" s="20"/>
      <c r="BJ20" s="100">
        <f t="shared" si="91"/>
        <v>0</v>
      </c>
      <c r="BK20" s="91"/>
      <c r="BL20" s="19"/>
      <c r="BM20" s="57">
        <f t="shared" si="92"/>
        <v>0</v>
      </c>
      <c r="BN20" s="20"/>
      <c r="BO20" s="100">
        <f t="shared" si="93"/>
        <v>0</v>
      </c>
      <c r="BP20" s="91"/>
      <c r="BQ20" s="19"/>
      <c r="BR20" s="57">
        <f t="shared" si="94"/>
        <v>0</v>
      </c>
      <c r="BS20" s="20"/>
      <c r="BT20" s="100">
        <f t="shared" si="95"/>
        <v>0</v>
      </c>
      <c r="BU20" s="55"/>
      <c r="BV20" s="107">
        <f t="shared" si="129"/>
        <v>0</v>
      </c>
      <c r="BW20" s="91"/>
      <c r="BX20" s="19"/>
      <c r="BY20" s="57">
        <f t="shared" si="96"/>
        <v>0</v>
      </c>
      <c r="BZ20" s="20"/>
      <c r="CA20" s="95">
        <f t="shared" si="97"/>
        <v>0</v>
      </c>
      <c r="CB20" s="120"/>
      <c r="CC20" s="19"/>
      <c r="CD20" s="57">
        <f t="shared" si="130"/>
        <v>0</v>
      </c>
      <c r="CE20" s="20"/>
      <c r="CF20" s="95">
        <f t="shared" si="99"/>
        <v>0</v>
      </c>
      <c r="CG20" s="120"/>
      <c r="CH20" s="19"/>
      <c r="CI20" s="57">
        <f t="shared" si="131"/>
        <v>0</v>
      </c>
      <c r="CJ20" s="20"/>
      <c r="CK20" s="95">
        <f t="shared" si="101"/>
        <v>0</v>
      </c>
      <c r="CL20" s="120"/>
      <c r="CM20" s="19"/>
      <c r="CN20" s="57">
        <f t="shared" si="132"/>
        <v>0</v>
      </c>
      <c r="CO20" s="20"/>
      <c r="CP20" s="95">
        <f t="shared" si="103"/>
        <v>0</v>
      </c>
      <c r="CQ20" s="120"/>
      <c r="CR20" s="19"/>
      <c r="CS20" s="57">
        <f t="shared" si="133"/>
        <v>0</v>
      </c>
      <c r="CT20" s="20"/>
      <c r="CU20" s="95">
        <f t="shared" si="105"/>
        <v>0</v>
      </c>
      <c r="CV20" s="120"/>
      <c r="CW20" s="19"/>
      <c r="CX20" s="57">
        <f t="shared" si="106"/>
        <v>0</v>
      </c>
      <c r="CY20" s="20"/>
      <c r="CZ20" s="95">
        <f t="shared" si="107"/>
        <v>0</v>
      </c>
      <c r="DA20" s="120"/>
      <c r="DB20" s="19"/>
      <c r="DC20" s="57">
        <f t="shared" si="108"/>
        <v>0</v>
      </c>
      <c r="DD20" s="20"/>
      <c r="DE20" s="95">
        <f t="shared" si="109"/>
        <v>0</v>
      </c>
      <c r="DF20" s="91"/>
      <c r="DG20" s="19"/>
      <c r="DH20" s="57">
        <f t="shared" si="110"/>
        <v>0</v>
      </c>
      <c r="DI20" s="20"/>
      <c r="DJ20" s="100">
        <f t="shared" si="111"/>
        <v>0</v>
      </c>
      <c r="DK20" s="91"/>
      <c r="DL20" s="19"/>
      <c r="DM20" s="57">
        <f t="shared" si="112"/>
        <v>0</v>
      </c>
      <c r="DN20" s="20"/>
      <c r="DO20" s="100">
        <f t="shared" si="113"/>
        <v>0</v>
      </c>
      <c r="DP20" s="91"/>
      <c r="DQ20" s="19"/>
      <c r="DR20" s="57">
        <f t="shared" si="114"/>
        <v>0</v>
      </c>
      <c r="DS20" s="20"/>
      <c r="DT20" s="100">
        <f t="shared" si="115"/>
        <v>0</v>
      </c>
      <c r="DU20" s="91"/>
      <c r="DV20" s="19"/>
      <c r="DW20" s="57">
        <f t="shared" si="116"/>
        <v>0</v>
      </c>
      <c r="DX20" s="20"/>
      <c r="DY20" s="100">
        <f t="shared" si="117"/>
        <v>0</v>
      </c>
      <c r="DZ20" s="91"/>
      <c r="EA20" s="19"/>
      <c r="EB20" s="57">
        <f t="shared" si="118"/>
        <v>0</v>
      </c>
      <c r="EC20" s="20"/>
      <c r="ED20" s="100">
        <f t="shared" si="119"/>
        <v>0</v>
      </c>
      <c r="EE20" s="91"/>
      <c r="EF20" s="19"/>
      <c r="EG20" s="57">
        <f t="shared" si="120"/>
        <v>0</v>
      </c>
      <c r="EH20" s="20"/>
      <c r="EI20" s="100">
        <f t="shared" si="121"/>
        <v>0</v>
      </c>
      <c r="EJ20" s="91"/>
      <c r="EK20" s="19"/>
      <c r="EL20" s="57">
        <f t="shared" si="122"/>
        <v>0</v>
      </c>
      <c r="EM20" s="20"/>
      <c r="EN20" s="100">
        <f t="shared" si="123"/>
        <v>0</v>
      </c>
      <c r="EO20" s="91"/>
      <c r="EP20" s="19"/>
      <c r="EQ20" s="57">
        <f t="shared" si="124"/>
        <v>0</v>
      </c>
      <c r="ER20" s="20"/>
      <c r="ES20" s="100">
        <f t="shared" si="125"/>
        <v>0</v>
      </c>
      <c r="ET20" s="55"/>
      <c r="EU20" s="55"/>
    </row>
    <row r="21" spans="1:151" x14ac:dyDescent="0.25">
      <c r="A21" s="18">
        <f>+B18/15540</f>
        <v>6</v>
      </c>
      <c r="B21" s="107">
        <f t="shared" si="67"/>
        <v>0</v>
      </c>
      <c r="C21" s="91"/>
      <c r="D21" s="19"/>
      <c r="E21" s="57">
        <f t="shared" si="68"/>
        <v>0</v>
      </c>
      <c r="F21" s="20"/>
      <c r="G21" s="95">
        <f t="shared" si="69"/>
        <v>0</v>
      </c>
      <c r="H21" s="120"/>
      <c r="I21" s="19"/>
      <c r="J21" s="57">
        <f t="shared" si="70"/>
        <v>0</v>
      </c>
      <c r="K21" s="20"/>
      <c r="L21" s="95">
        <f t="shared" si="71"/>
        <v>0</v>
      </c>
      <c r="M21" s="120"/>
      <c r="N21" s="19"/>
      <c r="O21" s="57">
        <f t="shared" si="72"/>
        <v>0</v>
      </c>
      <c r="P21" s="20"/>
      <c r="Q21" s="95">
        <f t="shared" si="73"/>
        <v>0</v>
      </c>
      <c r="R21" s="120"/>
      <c r="S21" s="19"/>
      <c r="T21" s="57">
        <f t="shared" si="74"/>
        <v>0</v>
      </c>
      <c r="U21" s="20"/>
      <c r="V21" s="95">
        <f t="shared" si="75"/>
        <v>0</v>
      </c>
      <c r="W21" s="120"/>
      <c r="X21" s="19"/>
      <c r="Y21" s="57">
        <f t="shared" si="76"/>
        <v>0</v>
      </c>
      <c r="Z21" s="20"/>
      <c r="AA21" s="95">
        <f t="shared" si="77"/>
        <v>0</v>
      </c>
      <c r="AB21" s="120"/>
      <c r="AC21" s="19"/>
      <c r="AD21" s="57">
        <f t="shared" si="78"/>
        <v>0</v>
      </c>
      <c r="AE21" s="20"/>
      <c r="AF21" s="95">
        <f t="shared" si="79"/>
        <v>0</v>
      </c>
      <c r="AG21" s="120"/>
      <c r="AH21" s="19"/>
      <c r="AI21" s="57">
        <f t="shared" si="80"/>
        <v>0</v>
      </c>
      <c r="AJ21" s="20"/>
      <c r="AK21" s="95">
        <f t="shared" si="81"/>
        <v>0</v>
      </c>
      <c r="AL21" s="91"/>
      <c r="AM21" s="19"/>
      <c r="AN21" s="57">
        <f t="shared" si="82"/>
        <v>0</v>
      </c>
      <c r="AO21" s="20"/>
      <c r="AP21" s="100">
        <f t="shared" si="83"/>
        <v>0</v>
      </c>
      <c r="AQ21" s="91"/>
      <c r="AR21" s="19"/>
      <c r="AS21" s="57">
        <f t="shared" si="84"/>
        <v>0</v>
      </c>
      <c r="AT21" s="20"/>
      <c r="AU21" s="100">
        <f t="shared" si="85"/>
        <v>0</v>
      </c>
      <c r="AV21" s="91"/>
      <c r="AW21" s="19"/>
      <c r="AX21" s="57">
        <f t="shared" si="86"/>
        <v>0</v>
      </c>
      <c r="AY21" s="20"/>
      <c r="AZ21" s="100">
        <f t="shared" si="87"/>
        <v>0</v>
      </c>
      <c r="BA21" s="91"/>
      <c r="BB21" s="19"/>
      <c r="BC21" s="57">
        <f t="shared" si="126"/>
        <v>0</v>
      </c>
      <c r="BD21" s="20"/>
      <c r="BE21" s="100">
        <f t="shared" si="127"/>
        <v>0</v>
      </c>
      <c r="BF21" s="91"/>
      <c r="BG21" s="19"/>
      <c r="BH21" s="57">
        <f t="shared" si="128"/>
        <v>0</v>
      </c>
      <c r="BI21" s="20"/>
      <c r="BJ21" s="100">
        <f t="shared" si="91"/>
        <v>0</v>
      </c>
      <c r="BK21" s="91"/>
      <c r="BL21" s="19"/>
      <c r="BM21" s="57">
        <f t="shared" si="92"/>
        <v>0</v>
      </c>
      <c r="BN21" s="20"/>
      <c r="BO21" s="100">
        <f t="shared" si="93"/>
        <v>0</v>
      </c>
      <c r="BP21" s="91"/>
      <c r="BQ21" s="19"/>
      <c r="BR21" s="57">
        <f t="shared" si="94"/>
        <v>0</v>
      </c>
      <c r="BS21" s="20"/>
      <c r="BT21" s="100">
        <f t="shared" si="95"/>
        <v>0</v>
      </c>
      <c r="BU21" s="55"/>
      <c r="BV21" s="107">
        <f t="shared" si="129"/>
        <v>0</v>
      </c>
      <c r="BW21" s="91"/>
      <c r="BX21" s="19"/>
      <c r="BY21" s="57">
        <f t="shared" si="96"/>
        <v>0</v>
      </c>
      <c r="BZ21" s="20"/>
      <c r="CA21" s="95">
        <f t="shared" si="97"/>
        <v>0</v>
      </c>
      <c r="CB21" s="120"/>
      <c r="CC21" s="19"/>
      <c r="CD21" s="57">
        <f t="shared" si="130"/>
        <v>0</v>
      </c>
      <c r="CE21" s="20"/>
      <c r="CF21" s="95">
        <f t="shared" si="99"/>
        <v>0</v>
      </c>
      <c r="CG21" s="120"/>
      <c r="CH21" s="19"/>
      <c r="CI21" s="57">
        <f t="shared" si="131"/>
        <v>0</v>
      </c>
      <c r="CJ21" s="20"/>
      <c r="CK21" s="95">
        <f t="shared" si="101"/>
        <v>0</v>
      </c>
      <c r="CL21" s="120"/>
      <c r="CM21" s="19"/>
      <c r="CN21" s="57">
        <f t="shared" si="132"/>
        <v>0</v>
      </c>
      <c r="CO21" s="20"/>
      <c r="CP21" s="95">
        <f t="shared" si="103"/>
        <v>0</v>
      </c>
      <c r="CQ21" s="120"/>
      <c r="CR21" s="19"/>
      <c r="CS21" s="57">
        <f t="shared" si="133"/>
        <v>0</v>
      </c>
      <c r="CT21" s="20"/>
      <c r="CU21" s="95">
        <f t="shared" si="105"/>
        <v>0</v>
      </c>
      <c r="CV21" s="120"/>
      <c r="CW21" s="19"/>
      <c r="CX21" s="57">
        <f t="shared" si="106"/>
        <v>0</v>
      </c>
      <c r="CY21" s="20"/>
      <c r="CZ21" s="95">
        <f t="shared" si="107"/>
        <v>0</v>
      </c>
      <c r="DA21" s="120"/>
      <c r="DB21" s="19"/>
      <c r="DC21" s="57">
        <f t="shared" si="108"/>
        <v>0</v>
      </c>
      <c r="DD21" s="20"/>
      <c r="DE21" s="95">
        <f t="shared" si="109"/>
        <v>0</v>
      </c>
      <c r="DF21" s="91"/>
      <c r="DG21" s="19"/>
      <c r="DH21" s="57">
        <f t="shared" si="110"/>
        <v>0</v>
      </c>
      <c r="DI21" s="20"/>
      <c r="DJ21" s="100">
        <f t="shared" si="111"/>
        <v>0</v>
      </c>
      <c r="DK21" s="91"/>
      <c r="DL21" s="19"/>
      <c r="DM21" s="57">
        <f t="shared" si="112"/>
        <v>0</v>
      </c>
      <c r="DN21" s="20"/>
      <c r="DO21" s="100">
        <f t="shared" si="113"/>
        <v>0</v>
      </c>
      <c r="DP21" s="91"/>
      <c r="DQ21" s="19"/>
      <c r="DR21" s="57">
        <f t="shared" si="114"/>
        <v>0</v>
      </c>
      <c r="DS21" s="20"/>
      <c r="DT21" s="100">
        <f t="shared" si="115"/>
        <v>0</v>
      </c>
      <c r="DU21" s="91"/>
      <c r="DV21" s="19"/>
      <c r="DW21" s="57">
        <f t="shared" si="116"/>
        <v>0</v>
      </c>
      <c r="DX21" s="20"/>
      <c r="DY21" s="100">
        <f t="shared" si="117"/>
        <v>0</v>
      </c>
      <c r="DZ21" s="91"/>
      <c r="EA21" s="19"/>
      <c r="EB21" s="57">
        <f t="shared" si="118"/>
        <v>0</v>
      </c>
      <c r="EC21" s="20"/>
      <c r="ED21" s="100">
        <f t="shared" si="119"/>
        <v>0</v>
      </c>
      <c r="EE21" s="91"/>
      <c r="EF21" s="19"/>
      <c r="EG21" s="57">
        <f t="shared" si="120"/>
        <v>0</v>
      </c>
      <c r="EH21" s="20"/>
      <c r="EI21" s="100">
        <f t="shared" si="121"/>
        <v>0</v>
      </c>
      <c r="EJ21" s="91"/>
      <c r="EK21" s="19"/>
      <c r="EL21" s="57">
        <f t="shared" si="122"/>
        <v>0</v>
      </c>
      <c r="EM21" s="20"/>
      <c r="EN21" s="100">
        <f t="shared" si="123"/>
        <v>0</v>
      </c>
      <c r="EO21" s="91"/>
      <c r="EP21" s="19"/>
      <c r="EQ21" s="57">
        <f t="shared" si="124"/>
        <v>0</v>
      </c>
      <c r="ER21" s="20"/>
      <c r="ES21" s="100">
        <f t="shared" si="125"/>
        <v>0</v>
      </c>
      <c r="ET21" s="55"/>
      <c r="EU21" s="55"/>
    </row>
    <row r="22" spans="1:151" x14ac:dyDescent="0.25">
      <c r="A22" s="53" t="s">
        <v>107</v>
      </c>
      <c r="B22" s="108">
        <f>SUM(B17:B21)</f>
        <v>139860</v>
      </c>
      <c r="C22" s="92"/>
      <c r="D22" s="54"/>
      <c r="E22" s="82"/>
      <c r="F22" s="17"/>
      <c r="G22" s="96">
        <f>SUM(G17:G21)</f>
        <v>0</v>
      </c>
      <c r="H22" s="121"/>
      <c r="I22" s="54"/>
      <c r="J22" s="82"/>
      <c r="K22" s="17"/>
      <c r="L22" s="96">
        <f>SUM(L17:L21)</f>
        <v>0</v>
      </c>
      <c r="M22" s="121"/>
      <c r="N22" s="54"/>
      <c r="O22" s="82"/>
      <c r="P22" s="17"/>
      <c r="Q22" s="96">
        <f>SUM(Q17:Q21)</f>
        <v>15540</v>
      </c>
      <c r="R22" s="121"/>
      <c r="S22" s="54"/>
      <c r="T22" s="82"/>
      <c r="U22" s="17"/>
      <c r="V22" s="96">
        <f>SUM(V17:V21)</f>
        <v>15540</v>
      </c>
      <c r="W22" s="121"/>
      <c r="X22" s="54"/>
      <c r="Y22" s="82"/>
      <c r="Z22" s="17"/>
      <c r="AA22" s="96">
        <f>SUM(AA17:AA21)</f>
        <v>15540</v>
      </c>
      <c r="AB22" s="121"/>
      <c r="AC22" s="54"/>
      <c r="AD22" s="82"/>
      <c r="AE22" s="17"/>
      <c r="AF22" s="96">
        <f>SUM(AF17:AF21)</f>
        <v>15540</v>
      </c>
      <c r="AG22" s="121"/>
      <c r="AH22" s="54"/>
      <c r="AI22" s="82"/>
      <c r="AJ22" s="17"/>
      <c r="AK22" s="96">
        <f>SUM(AK17:AK21)</f>
        <v>0</v>
      </c>
      <c r="AL22" s="92"/>
      <c r="AM22" s="54"/>
      <c r="AN22" s="82"/>
      <c r="AO22" s="17"/>
      <c r="AP22" s="96">
        <f>SUM(AP17:AP21)</f>
        <v>0</v>
      </c>
      <c r="AQ22" s="92"/>
      <c r="AR22" s="54"/>
      <c r="AS22" s="82"/>
      <c r="AT22" s="17"/>
      <c r="AU22" s="96">
        <f>SUM(AU17:AU21)</f>
        <v>15540</v>
      </c>
      <c r="AV22" s="92"/>
      <c r="AW22" s="54"/>
      <c r="AX22" s="82"/>
      <c r="AY22" s="17"/>
      <c r="AZ22" s="96">
        <f>SUM(AZ17:AZ21)</f>
        <v>15540</v>
      </c>
      <c r="BA22" s="92"/>
      <c r="BB22" s="54"/>
      <c r="BC22" s="82"/>
      <c r="BD22" s="17"/>
      <c r="BE22" s="96">
        <f>SUM(BE17:BE21)</f>
        <v>15540</v>
      </c>
      <c r="BF22" s="92"/>
      <c r="BG22" s="54"/>
      <c r="BH22" s="82"/>
      <c r="BI22" s="17"/>
      <c r="BJ22" s="96">
        <f>SUM(BJ17:BJ21)</f>
        <v>15540</v>
      </c>
      <c r="BK22" s="92"/>
      <c r="BL22" s="54"/>
      <c r="BM22" s="82"/>
      <c r="BN22" s="17"/>
      <c r="BO22" s="96">
        <f>SUM(BO17:BO21)</f>
        <v>0</v>
      </c>
      <c r="BP22" s="92"/>
      <c r="BQ22" s="54"/>
      <c r="BR22" s="82"/>
      <c r="BS22" s="17"/>
      <c r="BT22" s="96">
        <f>SUM(BT17:BT21)</f>
        <v>15540</v>
      </c>
      <c r="BU22" s="55"/>
      <c r="BV22" s="108">
        <f>SUM(BV17:BV21)</f>
        <v>77700</v>
      </c>
      <c r="BW22" s="92"/>
      <c r="BX22" s="54"/>
      <c r="BY22" s="82"/>
      <c r="BZ22" s="17"/>
      <c r="CA22" s="96">
        <f>SUM(CA17:CA21)</f>
        <v>15540</v>
      </c>
      <c r="CB22" s="121"/>
      <c r="CC22" s="54"/>
      <c r="CD22" s="82"/>
      <c r="CE22" s="17"/>
      <c r="CF22" s="96">
        <f>SUM(CF17:CF21)</f>
        <v>15540</v>
      </c>
      <c r="CG22" s="121"/>
      <c r="CH22" s="54"/>
      <c r="CI22" s="82"/>
      <c r="CJ22" s="17"/>
      <c r="CK22" s="96">
        <f>SUM(CK17:CK21)</f>
        <v>15540</v>
      </c>
      <c r="CL22" s="121"/>
      <c r="CM22" s="54"/>
      <c r="CN22" s="82"/>
      <c r="CO22" s="17"/>
      <c r="CP22" s="96">
        <f>SUM(CP17:CP21)</f>
        <v>15540</v>
      </c>
      <c r="CQ22" s="121"/>
      <c r="CR22" s="54"/>
      <c r="CS22" s="82"/>
      <c r="CT22" s="17"/>
      <c r="CU22" s="96">
        <f>SUM(CU17:CU21)</f>
        <v>15540</v>
      </c>
      <c r="CV22" s="121"/>
      <c r="CW22" s="54"/>
      <c r="CX22" s="82"/>
      <c r="CY22" s="17"/>
      <c r="CZ22" s="96">
        <f>SUM(CZ17:CZ21)</f>
        <v>0</v>
      </c>
      <c r="DA22" s="121"/>
      <c r="DB22" s="54"/>
      <c r="DC22" s="82"/>
      <c r="DD22" s="17"/>
      <c r="DE22" s="96">
        <f>SUM(DE17:DE21)</f>
        <v>0</v>
      </c>
      <c r="DF22" s="92"/>
      <c r="DG22" s="54"/>
      <c r="DH22" s="82"/>
      <c r="DI22" s="17"/>
      <c r="DJ22" s="96">
        <f>SUM(DJ17:DJ21)</f>
        <v>0</v>
      </c>
      <c r="DK22" s="92"/>
      <c r="DL22" s="54"/>
      <c r="DM22" s="82"/>
      <c r="DN22" s="17"/>
      <c r="DO22" s="96">
        <f>SUM(DO17:DO21)</f>
        <v>0</v>
      </c>
      <c r="DP22" s="92"/>
      <c r="DQ22" s="54"/>
      <c r="DR22" s="82"/>
      <c r="DS22" s="17"/>
      <c r="DT22" s="96">
        <f>SUM(DT17:DT21)</f>
        <v>0</v>
      </c>
      <c r="DU22" s="92"/>
      <c r="DV22" s="54"/>
      <c r="DW22" s="82"/>
      <c r="DX22" s="17"/>
      <c r="DY22" s="96">
        <f>SUM(DY17:DY21)</f>
        <v>0</v>
      </c>
      <c r="DZ22" s="92"/>
      <c r="EA22" s="54"/>
      <c r="EB22" s="82"/>
      <c r="EC22" s="17"/>
      <c r="ED22" s="96">
        <f>SUM(ED17:ED21)</f>
        <v>0</v>
      </c>
      <c r="EE22" s="92"/>
      <c r="EF22" s="54"/>
      <c r="EG22" s="82"/>
      <c r="EH22" s="17"/>
      <c r="EI22" s="96">
        <f>SUM(EI17:EI21)</f>
        <v>0</v>
      </c>
      <c r="EJ22" s="92"/>
      <c r="EK22" s="54"/>
      <c r="EL22" s="82"/>
      <c r="EM22" s="17"/>
      <c r="EN22" s="96">
        <f>SUM(EN17:EN21)</f>
        <v>0</v>
      </c>
      <c r="EO22" s="92"/>
      <c r="EP22" s="54"/>
      <c r="EQ22" s="82"/>
      <c r="ER22" s="17"/>
      <c r="ES22" s="96">
        <f>SUM(ES17:ES21)</f>
        <v>0</v>
      </c>
      <c r="ET22" s="55"/>
      <c r="EU22" s="55"/>
    </row>
    <row r="23" spans="1:151" ht="15.75" x14ac:dyDescent="0.25">
      <c r="A23" s="58" t="s">
        <v>111</v>
      </c>
      <c r="B23" s="106"/>
      <c r="C23" s="90"/>
      <c r="D23" s="16"/>
      <c r="E23" s="81"/>
      <c r="F23" s="17"/>
      <c r="G23" s="94"/>
      <c r="H23" s="103"/>
      <c r="I23" s="16"/>
      <c r="J23" s="81"/>
      <c r="K23" s="17"/>
      <c r="L23" s="94"/>
      <c r="M23" s="103"/>
      <c r="N23" s="16"/>
      <c r="O23" s="81"/>
      <c r="P23" s="17"/>
      <c r="Q23" s="94"/>
      <c r="R23" s="103"/>
      <c r="S23" s="16"/>
      <c r="T23" s="81"/>
      <c r="U23" s="17"/>
      <c r="V23" s="94"/>
      <c r="W23" s="103"/>
      <c r="X23" s="16"/>
      <c r="Y23" s="81"/>
      <c r="Z23" s="17"/>
      <c r="AA23" s="94"/>
      <c r="AB23" s="103"/>
      <c r="AC23" s="16"/>
      <c r="AD23" s="81"/>
      <c r="AE23" s="17"/>
      <c r="AF23" s="94"/>
      <c r="AG23" s="103"/>
      <c r="AH23" s="16"/>
      <c r="AI23" s="81"/>
      <c r="AJ23" s="17"/>
      <c r="AK23" s="94"/>
      <c r="AL23" s="90"/>
      <c r="AM23" s="16"/>
      <c r="AN23" s="81"/>
      <c r="AO23" s="17"/>
      <c r="AP23" s="99"/>
      <c r="AQ23" s="90"/>
      <c r="AR23" s="16"/>
      <c r="AS23" s="81"/>
      <c r="AT23" s="17"/>
      <c r="AU23" s="99"/>
      <c r="AV23" s="90"/>
      <c r="AW23" s="16"/>
      <c r="AX23" s="81"/>
      <c r="AY23" s="17"/>
      <c r="AZ23" s="99"/>
      <c r="BA23" s="90"/>
      <c r="BB23" s="16"/>
      <c r="BC23" s="81"/>
      <c r="BD23" s="17"/>
      <c r="BE23" s="99"/>
      <c r="BF23" s="90"/>
      <c r="BG23" s="16"/>
      <c r="BH23" s="81"/>
      <c r="BI23" s="17"/>
      <c r="BJ23" s="99"/>
      <c r="BK23" s="90"/>
      <c r="BL23" s="16"/>
      <c r="BM23" s="81"/>
      <c r="BN23" s="17"/>
      <c r="BO23" s="99"/>
      <c r="BP23" s="90"/>
      <c r="BQ23" s="16"/>
      <c r="BR23" s="81"/>
      <c r="BS23" s="17"/>
      <c r="BT23" s="99"/>
      <c r="BV23" s="106"/>
      <c r="BW23" s="90"/>
      <c r="BX23" s="16"/>
      <c r="BY23" s="81"/>
      <c r="BZ23" s="17"/>
      <c r="CA23" s="94"/>
      <c r="CB23" s="103"/>
      <c r="CC23" s="16"/>
      <c r="CD23" s="81"/>
      <c r="CE23" s="17"/>
      <c r="CF23" s="94"/>
      <c r="CG23" s="103"/>
      <c r="CH23" s="16"/>
      <c r="CI23" s="81"/>
      <c r="CJ23" s="17"/>
      <c r="CK23" s="94"/>
      <c r="CL23" s="103"/>
      <c r="CM23" s="16"/>
      <c r="CN23" s="81"/>
      <c r="CO23" s="17"/>
      <c r="CP23" s="94"/>
      <c r="CQ23" s="103"/>
      <c r="CR23" s="16"/>
      <c r="CS23" s="81"/>
      <c r="CT23" s="17"/>
      <c r="CU23" s="94"/>
      <c r="CV23" s="103"/>
      <c r="CW23" s="16"/>
      <c r="CX23" s="81"/>
      <c r="CY23" s="17"/>
      <c r="CZ23" s="94"/>
      <c r="DA23" s="103"/>
      <c r="DB23" s="16"/>
      <c r="DC23" s="81"/>
      <c r="DD23" s="17"/>
      <c r="DE23" s="94"/>
      <c r="DF23" s="90"/>
      <c r="DG23" s="16"/>
      <c r="DH23" s="81"/>
      <c r="DI23" s="17"/>
      <c r="DJ23" s="99"/>
      <c r="DK23" s="90"/>
      <c r="DL23" s="16"/>
      <c r="DM23" s="81"/>
      <c r="DN23" s="17"/>
      <c r="DO23" s="99"/>
      <c r="DP23" s="90"/>
      <c r="DQ23" s="16"/>
      <c r="DR23" s="81"/>
      <c r="DS23" s="17"/>
      <c r="DT23" s="99"/>
      <c r="DU23" s="90"/>
      <c r="DV23" s="16"/>
      <c r="DW23" s="81"/>
      <c r="DX23" s="17"/>
      <c r="DY23" s="99"/>
      <c r="DZ23" s="90"/>
      <c r="EA23" s="16"/>
      <c r="EB23" s="81"/>
      <c r="EC23" s="17"/>
      <c r="ED23" s="99"/>
      <c r="EE23" s="90"/>
      <c r="EF23" s="16"/>
      <c r="EG23" s="81"/>
      <c r="EH23" s="17"/>
      <c r="EI23" s="99"/>
      <c r="EJ23" s="90"/>
      <c r="EK23" s="16"/>
      <c r="EL23" s="81"/>
      <c r="EM23" s="17"/>
      <c r="EN23" s="99"/>
      <c r="EO23" s="90"/>
      <c r="EP23" s="16"/>
      <c r="EQ23" s="81"/>
      <c r="ER23" s="17"/>
      <c r="ES23" s="99"/>
    </row>
    <row r="24" spans="1:151" x14ac:dyDescent="0.25">
      <c r="A24" s="177" t="s">
        <v>112</v>
      </c>
      <c r="B24" s="107">
        <f t="shared" ref="B24:B30" si="134">G24+L24+Q24+V24+AA24+AF24+AK24+AP24+AU24+AZ24+BE24+BJ24+BO24+BT24</f>
        <v>451574.27</v>
      </c>
      <c r="C24" s="91"/>
      <c r="D24" s="19"/>
      <c r="E24" s="57">
        <f t="shared" ref="E24:E30" si="135">SUM(C24*D24)</f>
        <v>0</v>
      </c>
      <c r="F24" s="20"/>
      <c r="G24" s="95">
        <f t="shared" ref="G24:G30" si="136">E24-E24*F24</f>
        <v>0</v>
      </c>
      <c r="H24" s="120"/>
      <c r="I24" s="19"/>
      <c r="J24" s="57">
        <f t="shared" ref="J24:J30" si="137">SUM(H24*I24)</f>
        <v>0</v>
      </c>
      <c r="K24" s="20"/>
      <c r="L24" s="95">
        <f t="shared" ref="L24:L30" si="138">J24-J24*K24</f>
        <v>0</v>
      </c>
      <c r="M24" s="190">
        <v>78605.5</v>
      </c>
      <c r="N24" s="19">
        <v>1</v>
      </c>
      <c r="O24" s="57">
        <f t="shared" ref="O24:O26" si="139">SUM(M24*N24)</f>
        <v>78605.5</v>
      </c>
      <c r="P24" s="20">
        <v>0.26</v>
      </c>
      <c r="Q24" s="176">
        <f t="shared" ref="Q24:Q26" si="140">O24-O24*P24</f>
        <v>58168.07</v>
      </c>
      <c r="R24" s="190">
        <v>78605.5</v>
      </c>
      <c r="S24" s="19">
        <v>1</v>
      </c>
      <c r="T24" s="57">
        <f>SUM(R24*S24)</f>
        <v>78605.5</v>
      </c>
      <c r="U24" s="20">
        <v>0.26</v>
      </c>
      <c r="V24" s="95">
        <f t="shared" ref="V24:V30" si="141">T24-T24*U24</f>
        <v>58168.07</v>
      </c>
      <c r="W24" s="190">
        <v>83977.75</v>
      </c>
      <c r="X24" s="19">
        <v>1</v>
      </c>
      <c r="Y24" s="57">
        <f t="shared" ref="Y24:Y26" si="142">SUM(W24*X24)</f>
        <v>83977.75</v>
      </c>
      <c r="Z24" s="20">
        <v>0.26</v>
      </c>
      <c r="AA24" s="176">
        <f t="shared" ref="AA24:AA26" si="143">Y24-Y24*Z24</f>
        <v>62143.535000000003</v>
      </c>
      <c r="AB24" s="190">
        <v>83977.75</v>
      </c>
      <c r="AC24" s="19">
        <v>1</v>
      </c>
      <c r="AD24" s="57">
        <f>SUM(AB24*AC24)</f>
        <v>83977.75</v>
      </c>
      <c r="AE24" s="20">
        <v>0.26</v>
      </c>
      <c r="AF24" s="95">
        <f t="shared" ref="AF24:AF30" si="144">AD24-AD24*AE24</f>
        <v>62143.535000000003</v>
      </c>
      <c r="AG24" s="175">
        <v>62254</v>
      </c>
      <c r="AH24" s="189">
        <v>0</v>
      </c>
      <c r="AI24" s="57">
        <f t="shared" ref="AI24:AI28" si="145">SUM(AG24*AH24)</f>
        <v>0</v>
      </c>
      <c r="AJ24" s="20">
        <v>0.26</v>
      </c>
      <c r="AK24" s="176">
        <f t="shared" ref="AK24:AK28" si="146">AI24-AI24*AJ24</f>
        <v>0</v>
      </c>
      <c r="AL24" s="175">
        <v>62254</v>
      </c>
      <c r="AM24" s="189">
        <v>0</v>
      </c>
      <c r="AN24" s="57">
        <f t="shared" ref="AN24:AN28" si="147">SUM(AL24*AM24)</f>
        <v>0</v>
      </c>
      <c r="AO24" s="20">
        <v>0.26</v>
      </c>
      <c r="AP24" s="100">
        <f t="shared" ref="AP24:AP30" si="148">AN24-AN24*AO24</f>
        <v>0</v>
      </c>
      <c r="AQ24" s="190">
        <v>83977.75</v>
      </c>
      <c r="AR24" s="19">
        <v>1</v>
      </c>
      <c r="AS24" s="57">
        <f t="shared" ref="AS24:AS26" si="149">SUM(AQ24*AR24)</f>
        <v>83977.75</v>
      </c>
      <c r="AT24" s="20">
        <v>0.26</v>
      </c>
      <c r="AU24" s="176">
        <f t="shared" ref="AU24:AU26" si="150">AS24-AS24*AT24</f>
        <v>62143.535000000003</v>
      </c>
      <c r="AV24" s="190">
        <v>83977.75</v>
      </c>
      <c r="AW24" s="19">
        <v>1</v>
      </c>
      <c r="AX24" s="57">
        <f>SUM(AV24*AW24)</f>
        <v>83977.75</v>
      </c>
      <c r="AY24" s="20">
        <v>0.26</v>
      </c>
      <c r="AZ24" s="100">
        <f t="shared" ref="AZ24:AZ30" si="151">AX24-AX24*AY24</f>
        <v>62143.535000000003</v>
      </c>
      <c r="BA24" s="190">
        <v>48275</v>
      </c>
      <c r="BB24" s="19">
        <v>1</v>
      </c>
      <c r="BC24" s="57">
        <f t="shared" ref="BC24:BC28" si="152">SUM(BA24*BB24)</f>
        <v>48275</v>
      </c>
      <c r="BD24" s="20">
        <v>0.26</v>
      </c>
      <c r="BE24" s="176">
        <f t="shared" ref="BE24:BE28" si="153">BC24-BC24*BD24</f>
        <v>35723.5</v>
      </c>
      <c r="BF24" s="190">
        <v>48275</v>
      </c>
      <c r="BG24" s="19">
        <v>1</v>
      </c>
      <c r="BH24" s="57">
        <f>SUM(BF24*BG24)</f>
        <v>48275</v>
      </c>
      <c r="BI24" s="20">
        <v>0.26</v>
      </c>
      <c r="BJ24" s="100">
        <f t="shared" ref="BJ24:BJ30" si="154">BH24-BH24*BI24</f>
        <v>35723.5</v>
      </c>
      <c r="BK24" s="175">
        <v>62254</v>
      </c>
      <c r="BL24" s="189">
        <v>0</v>
      </c>
      <c r="BM24" s="57">
        <f t="shared" ref="BM24:BM28" si="155">SUM(BK24*BL24)</f>
        <v>0</v>
      </c>
      <c r="BN24" s="20">
        <v>0.26</v>
      </c>
      <c r="BO24" s="100">
        <f t="shared" ref="BO24:BO30" si="156">BM24-BM24*BN24</f>
        <v>0</v>
      </c>
      <c r="BP24" s="190">
        <v>20563.5</v>
      </c>
      <c r="BQ24" s="19">
        <v>1</v>
      </c>
      <c r="BR24" s="57">
        <f t="shared" ref="BR24:BR26" si="157">SUM(BP24*BQ24)</f>
        <v>20563.5</v>
      </c>
      <c r="BS24" s="20">
        <v>0.26</v>
      </c>
      <c r="BT24" s="100">
        <f t="shared" ref="BT24:BT30" si="158">BR24-BR24*BS24</f>
        <v>15216.99</v>
      </c>
      <c r="BU24" s="55"/>
      <c r="BV24" s="107">
        <f>CA24+CF24+CK24+CP24+CU24+CZ24+DE24+DJ24+DO24+DT24+DY24+ED24+EI24+EN24+ES24</f>
        <v>190969.58</v>
      </c>
      <c r="BW24" s="190">
        <v>48275</v>
      </c>
      <c r="BX24" s="189">
        <v>1</v>
      </c>
      <c r="BY24" s="57">
        <f t="shared" ref="BY24:BY30" si="159">SUM(BW24*BX24)</f>
        <v>48275</v>
      </c>
      <c r="BZ24" s="20">
        <v>0.26</v>
      </c>
      <c r="CA24" s="95">
        <f t="shared" ref="CA24:CA30" si="160">BY24-BY24*BZ24</f>
        <v>35723.5</v>
      </c>
      <c r="CB24" s="190">
        <v>48275</v>
      </c>
      <c r="CC24" s="189">
        <v>1</v>
      </c>
      <c r="CD24" s="57">
        <f t="shared" ref="CD24:CD26" si="161">SUM(CB24*CC24)</f>
        <v>48275</v>
      </c>
      <c r="CE24" s="20">
        <v>0.26</v>
      </c>
      <c r="CF24" s="95">
        <f t="shared" ref="CF24:CF30" si="162">CD24-CD24*CE24</f>
        <v>35723.5</v>
      </c>
      <c r="CG24" s="190">
        <v>48275</v>
      </c>
      <c r="CH24" s="189">
        <v>1</v>
      </c>
      <c r="CI24" s="57">
        <f t="shared" ref="CI24:CI26" si="163">SUM(CG24*CH24)</f>
        <v>48275</v>
      </c>
      <c r="CJ24" s="20">
        <v>0.26</v>
      </c>
      <c r="CK24" s="95">
        <f t="shared" ref="CK24:CK30" si="164">CI24-CI24*CJ24</f>
        <v>35723.5</v>
      </c>
      <c r="CL24" s="190">
        <v>53935</v>
      </c>
      <c r="CM24" s="189">
        <v>1</v>
      </c>
      <c r="CN24" s="57">
        <f t="shared" ref="CN24:CN26" si="165">SUM(CL24*CM24)</f>
        <v>53935</v>
      </c>
      <c r="CO24" s="20">
        <v>0.26</v>
      </c>
      <c r="CP24" s="95">
        <f t="shared" ref="CP24:CP30" si="166">CN24-CN24*CO24</f>
        <v>39911.9</v>
      </c>
      <c r="CQ24" s="190">
        <v>59307</v>
      </c>
      <c r="CR24" s="189">
        <v>1</v>
      </c>
      <c r="CS24" s="57">
        <f t="shared" ref="CS24:CS26" si="167">SUM(CQ24*CR24)</f>
        <v>59307</v>
      </c>
      <c r="CT24" s="20">
        <v>0.26</v>
      </c>
      <c r="CU24" s="95">
        <f t="shared" ref="CU24:CU30" si="168">CS24-CS24*CT24</f>
        <v>43887.18</v>
      </c>
      <c r="CV24" s="120"/>
      <c r="CW24" s="19"/>
      <c r="CX24" s="57">
        <f t="shared" ref="CX24:CX30" si="169">SUM(CV24*CW24)</f>
        <v>0</v>
      </c>
      <c r="CY24" s="20"/>
      <c r="CZ24" s="95">
        <f t="shared" ref="CZ24:CZ30" si="170">CX24-CX24*CY24</f>
        <v>0</v>
      </c>
      <c r="DA24" s="120"/>
      <c r="DB24" s="19"/>
      <c r="DC24" s="57">
        <f t="shared" ref="DC24:DC30" si="171">SUM(DA24*DB24)</f>
        <v>0</v>
      </c>
      <c r="DD24" s="20"/>
      <c r="DE24" s="95">
        <f t="shared" ref="DE24:DE30" si="172">DC24-DC24*DD24</f>
        <v>0</v>
      </c>
      <c r="DF24" s="91"/>
      <c r="DG24" s="19"/>
      <c r="DH24" s="57">
        <f t="shared" ref="DH24:DH30" si="173">SUM(DF24*DG24)</f>
        <v>0</v>
      </c>
      <c r="DI24" s="20"/>
      <c r="DJ24" s="100">
        <f t="shared" ref="DJ24:DJ30" si="174">DH24-DH24*DI24</f>
        <v>0</v>
      </c>
      <c r="DK24" s="91"/>
      <c r="DL24" s="19"/>
      <c r="DM24" s="57">
        <f t="shared" ref="DM24:DM30" si="175">SUM(DK24*DL24)</f>
        <v>0</v>
      </c>
      <c r="DN24" s="20"/>
      <c r="DO24" s="100">
        <f t="shared" ref="DO24:DO30" si="176">DM24-DM24*DN24</f>
        <v>0</v>
      </c>
      <c r="DP24" s="91"/>
      <c r="DQ24" s="19"/>
      <c r="DR24" s="57">
        <f t="shared" ref="DR24:DR30" si="177">SUM(DP24*DQ24)</f>
        <v>0</v>
      </c>
      <c r="DS24" s="20"/>
      <c r="DT24" s="100">
        <f t="shared" ref="DT24:DT30" si="178">DR24-DR24*DS24</f>
        <v>0</v>
      </c>
      <c r="DU24" s="91"/>
      <c r="DV24" s="19"/>
      <c r="DW24" s="57">
        <f t="shared" ref="DW24:DW30" si="179">SUM(DU24*DV24)</f>
        <v>0</v>
      </c>
      <c r="DX24" s="20"/>
      <c r="DY24" s="100">
        <f t="shared" ref="DY24:DY30" si="180">DW24-DW24*DX24</f>
        <v>0</v>
      </c>
      <c r="DZ24" s="91"/>
      <c r="EA24" s="19"/>
      <c r="EB24" s="57">
        <f t="shared" ref="EB24:EB30" si="181">SUM(DZ24*EA24)</f>
        <v>0</v>
      </c>
      <c r="EC24" s="20"/>
      <c r="ED24" s="100">
        <f t="shared" ref="ED24:ED30" si="182">EB24-EB24*EC24</f>
        <v>0</v>
      </c>
      <c r="EE24" s="91"/>
      <c r="EF24" s="19"/>
      <c r="EG24" s="57">
        <f t="shared" ref="EG24:EG30" si="183">SUM(EE24*EF24)</f>
        <v>0</v>
      </c>
      <c r="EH24" s="20"/>
      <c r="EI24" s="100">
        <f t="shared" ref="EI24:EI30" si="184">EG24-EG24*EH24</f>
        <v>0</v>
      </c>
      <c r="EJ24" s="91"/>
      <c r="EK24" s="19"/>
      <c r="EL24" s="57">
        <f t="shared" ref="EL24:EL30" si="185">SUM(EJ24*EK24)</f>
        <v>0</v>
      </c>
      <c r="EM24" s="20"/>
      <c r="EN24" s="100">
        <f t="shared" ref="EN24:EN30" si="186">EL24-EL24*EM24</f>
        <v>0</v>
      </c>
      <c r="EO24" s="91"/>
      <c r="EP24" s="19"/>
      <c r="EQ24" s="57">
        <f t="shared" ref="EQ24:EQ30" si="187">SUM(EO24*EP24)</f>
        <v>0</v>
      </c>
      <c r="ER24" s="20"/>
      <c r="ES24" s="100">
        <f t="shared" ref="ES24:ES30" si="188">EQ24-EQ24*ER24</f>
        <v>0</v>
      </c>
      <c r="ET24" s="55"/>
      <c r="EU24" s="55"/>
    </row>
    <row r="25" spans="1:151" x14ac:dyDescent="0.25">
      <c r="A25" s="177" t="s">
        <v>113</v>
      </c>
      <c r="B25" s="107">
        <f t="shared" si="134"/>
        <v>2969960.4</v>
      </c>
      <c r="C25" s="91"/>
      <c r="D25" s="19"/>
      <c r="E25" s="57">
        <f t="shared" si="135"/>
        <v>0</v>
      </c>
      <c r="F25" s="20"/>
      <c r="G25" s="95">
        <f t="shared" si="136"/>
        <v>0</v>
      </c>
      <c r="H25" s="120"/>
      <c r="I25" s="19"/>
      <c r="J25" s="57">
        <f t="shared" si="137"/>
        <v>0</v>
      </c>
      <c r="K25" s="20"/>
      <c r="L25" s="95">
        <f t="shared" si="138"/>
        <v>0</v>
      </c>
      <c r="M25" s="175">
        <v>40540</v>
      </c>
      <c r="N25" s="19">
        <v>8</v>
      </c>
      <c r="O25" s="57">
        <f t="shared" si="139"/>
        <v>324320</v>
      </c>
      <c r="P25" s="20">
        <v>0.26</v>
      </c>
      <c r="Q25" s="176">
        <f t="shared" si="140"/>
        <v>239996.79999999999</v>
      </c>
      <c r="R25" s="175">
        <v>40540</v>
      </c>
      <c r="S25" s="19">
        <v>8</v>
      </c>
      <c r="T25" s="57">
        <f>SUM(R25*S25)</f>
        <v>324320</v>
      </c>
      <c r="U25" s="20">
        <v>0.26</v>
      </c>
      <c r="V25" s="95">
        <f t="shared" si="141"/>
        <v>239996.79999999999</v>
      </c>
      <c r="W25" s="175">
        <v>40540</v>
      </c>
      <c r="X25" s="189">
        <v>12</v>
      </c>
      <c r="Y25" s="57">
        <f t="shared" si="142"/>
        <v>486480</v>
      </c>
      <c r="Z25" s="20">
        <v>0.26</v>
      </c>
      <c r="AA25" s="176">
        <f t="shared" si="143"/>
        <v>359995.2</v>
      </c>
      <c r="AB25" s="175">
        <v>40540</v>
      </c>
      <c r="AC25" s="189">
        <v>12</v>
      </c>
      <c r="AD25" s="57">
        <f>SUM(AB25*AC25)</f>
        <v>486480</v>
      </c>
      <c r="AE25" s="20">
        <v>0.26</v>
      </c>
      <c r="AF25" s="95">
        <f t="shared" si="144"/>
        <v>359995.2</v>
      </c>
      <c r="AG25" s="175">
        <v>40540</v>
      </c>
      <c r="AH25" s="189">
        <v>12</v>
      </c>
      <c r="AI25" s="57">
        <f t="shared" si="145"/>
        <v>486480</v>
      </c>
      <c r="AJ25" s="20">
        <v>0.26</v>
      </c>
      <c r="AK25" s="176">
        <f t="shared" si="146"/>
        <v>359995.2</v>
      </c>
      <c r="AL25" s="175">
        <v>40540</v>
      </c>
      <c r="AM25" s="189">
        <v>12</v>
      </c>
      <c r="AN25" s="57">
        <f t="shared" si="147"/>
        <v>486480</v>
      </c>
      <c r="AO25" s="20">
        <v>0.26</v>
      </c>
      <c r="AP25" s="100">
        <f t="shared" si="148"/>
        <v>359995.2</v>
      </c>
      <c r="AQ25" s="175">
        <v>40540</v>
      </c>
      <c r="AR25" s="189">
        <v>10</v>
      </c>
      <c r="AS25" s="57">
        <f t="shared" si="149"/>
        <v>405400</v>
      </c>
      <c r="AT25" s="20">
        <v>0.26</v>
      </c>
      <c r="AU25" s="176">
        <f t="shared" si="150"/>
        <v>299996</v>
      </c>
      <c r="AV25" s="175">
        <v>40540</v>
      </c>
      <c r="AW25" s="189">
        <v>10</v>
      </c>
      <c r="AX25" s="57">
        <f>SUM(AV25*AW25)</f>
        <v>405400</v>
      </c>
      <c r="AY25" s="20">
        <v>0.26</v>
      </c>
      <c r="AZ25" s="100">
        <f t="shared" si="151"/>
        <v>299996</v>
      </c>
      <c r="BA25" s="175">
        <v>40540</v>
      </c>
      <c r="BB25" s="19">
        <v>6</v>
      </c>
      <c r="BC25" s="57">
        <f t="shared" si="152"/>
        <v>243240</v>
      </c>
      <c r="BD25" s="20">
        <v>0.26</v>
      </c>
      <c r="BE25" s="176">
        <f t="shared" si="153"/>
        <v>179997.6</v>
      </c>
      <c r="BF25" s="175">
        <v>40540</v>
      </c>
      <c r="BG25" s="19">
        <v>5</v>
      </c>
      <c r="BH25" s="57">
        <f>SUM(BF25*BG25)</f>
        <v>202700</v>
      </c>
      <c r="BI25" s="20">
        <v>0.26</v>
      </c>
      <c r="BJ25" s="100">
        <f t="shared" si="154"/>
        <v>149998</v>
      </c>
      <c r="BK25" s="175">
        <v>40540</v>
      </c>
      <c r="BL25" s="189">
        <v>0</v>
      </c>
      <c r="BM25" s="57">
        <f t="shared" si="155"/>
        <v>0</v>
      </c>
      <c r="BN25" s="20">
        <v>0.26</v>
      </c>
      <c r="BO25" s="100">
        <f t="shared" si="156"/>
        <v>0</v>
      </c>
      <c r="BP25" s="175">
        <v>40540</v>
      </c>
      <c r="BQ25" s="189">
        <v>4</v>
      </c>
      <c r="BR25" s="57">
        <f t="shared" si="157"/>
        <v>162160</v>
      </c>
      <c r="BS25" s="20">
        <v>0.26</v>
      </c>
      <c r="BT25" s="100">
        <f t="shared" si="158"/>
        <v>119998.39999999999</v>
      </c>
      <c r="BU25" s="55"/>
      <c r="BV25" s="107">
        <f t="shared" ref="BV25:BV30" si="189">CA25+CF25+CK25+CP25+CU25+CZ25+DE25+DJ25+DO25+DT25+DY25+ED25+EI25+EN25+ES25</f>
        <v>899988</v>
      </c>
      <c r="BW25" s="190">
        <v>40540</v>
      </c>
      <c r="BX25" s="189">
        <v>3</v>
      </c>
      <c r="BY25" s="57">
        <f t="shared" si="159"/>
        <v>121620</v>
      </c>
      <c r="BZ25" s="20">
        <v>0.26</v>
      </c>
      <c r="CA25" s="95">
        <f t="shared" si="160"/>
        <v>89998.8</v>
      </c>
      <c r="CB25" s="190">
        <v>40540</v>
      </c>
      <c r="CC25" s="189">
        <v>3</v>
      </c>
      <c r="CD25" s="57">
        <f t="shared" si="161"/>
        <v>121620</v>
      </c>
      <c r="CE25" s="20">
        <v>0.26</v>
      </c>
      <c r="CF25" s="95">
        <f t="shared" si="162"/>
        <v>89998.8</v>
      </c>
      <c r="CG25" s="190">
        <v>40540</v>
      </c>
      <c r="CH25" s="189">
        <v>4</v>
      </c>
      <c r="CI25" s="57">
        <f t="shared" si="163"/>
        <v>162160</v>
      </c>
      <c r="CJ25" s="20">
        <v>0.26</v>
      </c>
      <c r="CK25" s="95">
        <f t="shared" si="164"/>
        <v>119998.39999999999</v>
      </c>
      <c r="CL25" s="190">
        <v>40540</v>
      </c>
      <c r="CM25" s="189">
        <v>8</v>
      </c>
      <c r="CN25" s="57">
        <f t="shared" si="165"/>
        <v>324320</v>
      </c>
      <c r="CO25" s="20">
        <v>0.26</v>
      </c>
      <c r="CP25" s="95">
        <f t="shared" si="166"/>
        <v>239996.79999999999</v>
      </c>
      <c r="CQ25" s="190">
        <v>40540</v>
      </c>
      <c r="CR25" s="189">
        <v>12</v>
      </c>
      <c r="CS25" s="57">
        <f t="shared" si="167"/>
        <v>486480</v>
      </c>
      <c r="CT25" s="20">
        <v>0.26</v>
      </c>
      <c r="CU25" s="95">
        <f t="shared" si="168"/>
        <v>359995.2</v>
      </c>
      <c r="CV25" s="120"/>
      <c r="CW25" s="19"/>
      <c r="CX25" s="57">
        <f t="shared" si="169"/>
        <v>0</v>
      </c>
      <c r="CY25" s="20"/>
      <c r="CZ25" s="95">
        <f t="shared" si="170"/>
        <v>0</v>
      </c>
      <c r="DA25" s="120"/>
      <c r="DB25" s="19"/>
      <c r="DC25" s="57">
        <f t="shared" si="171"/>
        <v>0</v>
      </c>
      <c r="DD25" s="20"/>
      <c r="DE25" s="95">
        <f t="shared" si="172"/>
        <v>0</v>
      </c>
      <c r="DF25" s="91"/>
      <c r="DG25" s="19"/>
      <c r="DH25" s="57">
        <f t="shared" si="173"/>
        <v>0</v>
      </c>
      <c r="DI25" s="20"/>
      <c r="DJ25" s="100">
        <f t="shared" si="174"/>
        <v>0</v>
      </c>
      <c r="DK25" s="91"/>
      <c r="DL25" s="19"/>
      <c r="DM25" s="57">
        <f t="shared" si="175"/>
        <v>0</v>
      </c>
      <c r="DN25" s="20"/>
      <c r="DO25" s="100">
        <f t="shared" si="176"/>
        <v>0</v>
      </c>
      <c r="DP25" s="91"/>
      <c r="DQ25" s="19"/>
      <c r="DR25" s="57">
        <f t="shared" si="177"/>
        <v>0</v>
      </c>
      <c r="DS25" s="20"/>
      <c r="DT25" s="100">
        <f t="shared" si="178"/>
        <v>0</v>
      </c>
      <c r="DU25" s="91"/>
      <c r="DV25" s="19"/>
      <c r="DW25" s="57">
        <f t="shared" si="179"/>
        <v>0</v>
      </c>
      <c r="DX25" s="20"/>
      <c r="DY25" s="100">
        <f t="shared" si="180"/>
        <v>0</v>
      </c>
      <c r="DZ25" s="91"/>
      <c r="EA25" s="19"/>
      <c r="EB25" s="57">
        <f t="shared" si="181"/>
        <v>0</v>
      </c>
      <c r="EC25" s="20"/>
      <c r="ED25" s="100">
        <f t="shared" si="182"/>
        <v>0</v>
      </c>
      <c r="EE25" s="91"/>
      <c r="EF25" s="19"/>
      <c r="EG25" s="57">
        <f t="shared" si="183"/>
        <v>0</v>
      </c>
      <c r="EH25" s="20"/>
      <c r="EI25" s="100">
        <f t="shared" si="184"/>
        <v>0</v>
      </c>
      <c r="EJ25" s="91"/>
      <c r="EK25" s="19"/>
      <c r="EL25" s="57">
        <f t="shared" si="185"/>
        <v>0</v>
      </c>
      <c r="EM25" s="20"/>
      <c r="EN25" s="100">
        <f t="shared" si="186"/>
        <v>0</v>
      </c>
      <c r="EO25" s="91"/>
      <c r="EP25" s="19"/>
      <c r="EQ25" s="57">
        <f t="shared" si="187"/>
        <v>0</v>
      </c>
      <c r="ER25" s="20"/>
      <c r="ES25" s="100">
        <f t="shared" si="188"/>
        <v>0</v>
      </c>
      <c r="ET25" s="55"/>
      <c r="EU25" s="55"/>
    </row>
    <row r="26" spans="1:151" x14ac:dyDescent="0.25">
      <c r="A26" s="177" t="s">
        <v>114</v>
      </c>
      <c r="B26" s="107">
        <f t="shared" si="134"/>
        <v>105754.88000000002</v>
      </c>
      <c r="C26" s="91"/>
      <c r="D26" s="19"/>
      <c r="E26" s="57">
        <f t="shared" si="135"/>
        <v>0</v>
      </c>
      <c r="F26" s="20"/>
      <c r="G26" s="95">
        <f t="shared" si="136"/>
        <v>0</v>
      </c>
      <c r="H26" s="120"/>
      <c r="I26" s="19"/>
      <c r="J26" s="57">
        <f t="shared" si="137"/>
        <v>0</v>
      </c>
      <c r="K26" s="20"/>
      <c r="L26" s="95">
        <f t="shared" si="138"/>
        <v>0</v>
      </c>
      <c r="M26" s="175">
        <v>4928</v>
      </c>
      <c r="N26" s="19">
        <v>2</v>
      </c>
      <c r="O26" s="57">
        <f t="shared" si="139"/>
        <v>9856</v>
      </c>
      <c r="P26" s="20">
        <v>0.26</v>
      </c>
      <c r="Q26" s="176">
        <f t="shared" si="140"/>
        <v>7293.4400000000005</v>
      </c>
      <c r="R26" s="175">
        <v>4928</v>
      </c>
      <c r="S26" s="19">
        <v>2</v>
      </c>
      <c r="T26" s="57">
        <f>SUM(R26*S26)</f>
        <v>9856</v>
      </c>
      <c r="U26" s="20">
        <v>0.26</v>
      </c>
      <c r="V26" s="95">
        <f t="shared" si="141"/>
        <v>7293.4400000000005</v>
      </c>
      <c r="W26" s="175">
        <v>4928</v>
      </c>
      <c r="X26" s="19">
        <v>3</v>
      </c>
      <c r="Y26" s="57">
        <f t="shared" si="142"/>
        <v>14784</v>
      </c>
      <c r="Z26" s="20">
        <v>0.26</v>
      </c>
      <c r="AA26" s="176">
        <f t="shared" si="143"/>
        <v>10940.16</v>
      </c>
      <c r="AB26" s="175">
        <v>4928</v>
      </c>
      <c r="AC26" s="19">
        <v>3</v>
      </c>
      <c r="AD26" s="57">
        <f>SUM(AB26*AC26)</f>
        <v>14784</v>
      </c>
      <c r="AE26" s="20">
        <v>0.26</v>
      </c>
      <c r="AF26" s="95">
        <f t="shared" si="144"/>
        <v>10940.16</v>
      </c>
      <c r="AG26" s="175">
        <v>4928</v>
      </c>
      <c r="AH26" s="189">
        <v>3</v>
      </c>
      <c r="AI26" s="57">
        <f t="shared" si="145"/>
        <v>14784</v>
      </c>
      <c r="AJ26" s="20">
        <v>0.26</v>
      </c>
      <c r="AK26" s="176">
        <f t="shared" si="146"/>
        <v>10940.16</v>
      </c>
      <c r="AL26" s="175">
        <v>4928</v>
      </c>
      <c r="AM26" s="189">
        <v>3</v>
      </c>
      <c r="AN26" s="57">
        <f t="shared" si="147"/>
        <v>14784</v>
      </c>
      <c r="AO26" s="20">
        <v>0.26</v>
      </c>
      <c r="AP26" s="100">
        <f t="shared" si="148"/>
        <v>10940.16</v>
      </c>
      <c r="AQ26" s="175">
        <v>4928</v>
      </c>
      <c r="AR26" s="19">
        <v>3</v>
      </c>
      <c r="AS26" s="57">
        <f t="shared" si="149"/>
        <v>14784</v>
      </c>
      <c r="AT26" s="20">
        <v>0.26</v>
      </c>
      <c r="AU26" s="176">
        <f t="shared" si="150"/>
        <v>10940.16</v>
      </c>
      <c r="AV26" s="175">
        <v>4928</v>
      </c>
      <c r="AW26" s="19">
        <v>3</v>
      </c>
      <c r="AX26" s="57">
        <f>SUM(AV26*AW26)</f>
        <v>14784</v>
      </c>
      <c r="AY26" s="20">
        <v>0.26</v>
      </c>
      <c r="AZ26" s="100">
        <f t="shared" si="151"/>
        <v>10940.16</v>
      </c>
      <c r="BA26" s="175">
        <v>4928</v>
      </c>
      <c r="BB26" s="189">
        <v>4</v>
      </c>
      <c r="BC26" s="57">
        <f t="shared" si="152"/>
        <v>19712</v>
      </c>
      <c r="BD26" s="20">
        <v>0.26</v>
      </c>
      <c r="BE26" s="176">
        <f t="shared" si="153"/>
        <v>14586.880000000001</v>
      </c>
      <c r="BF26" s="175">
        <v>4928</v>
      </c>
      <c r="BG26" s="19">
        <v>2</v>
      </c>
      <c r="BH26" s="57">
        <f>SUM(BF26*BG26)</f>
        <v>9856</v>
      </c>
      <c r="BI26" s="20">
        <v>0.26</v>
      </c>
      <c r="BJ26" s="100">
        <f t="shared" si="154"/>
        <v>7293.4400000000005</v>
      </c>
      <c r="BK26" s="175">
        <v>4928</v>
      </c>
      <c r="BL26" s="189">
        <v>0</v>
      </c>
      <c r="BM26" s="57">
        <f t="shared" si="155"/>
        <v>0</v>
      </c>
      <c r="BN26" s="20">
        <v>0.26</v>
      </c>
      <c r="BO26" s="100">
        <f t="shared" si="156"/>
        <v>0</v>
      </c>
      <c r="BP26" s="175">
        <v>4928</v>
      </c>
      <c r="BQ26" s="189">
        <v>1</v>
      </c>
      <c r="BR26" s="57">
        <f t="shared" si="157"/>
        <v>4928</v>
      </c>
      <c r="BS26" s="20">
        <v>0.26</v>
      </c>
      <c r="BT26" s="100">
        <f t="shared" si="158"/>
        <v>3646.7200000000003</v>
      </c>
      <c r="BU26" s="55"/>
      <c r="BV26" s="107">
        <f t="shared" si="189"/>
        <v>40113.919999999998</v>
      </c>
      <c r="BW26" s="190">
        <v>4928</v>
      </c>
      <c r="BX26" s="189">
        <v>2</v>
      </c>
      <c r="BY26" s="57">
        <f t="shared" si="159"/>
        <v>9856</v>
      </c>
      <c r="BZ26" s="20">
        <v>0.26</v>
      </c>
      <c r="CA26" s="95">
        <f t="shared" si="160"/>
        <v>7293.4400000000005</v>
      </c>
      <c r="CB26" s="190">
        <v>4928</v>
      </c>
      <c r="CC26" s="189">
        <v>2</v>
      </c>
      <c r="CD26" s="57">
        <f t="shared" si="161"/>
        <v>9856</v>
      </c>
      <c r="CE26" s="20">
        <v>0.26</v>
      </c>
      <c r="CF26" s="95">
        <f t="shared" si="162"/>
        <v>7293.4400000000005</v>
      </c>
      <c r="CG26" s="190">
        <v>4928</v>
      </c>
      <c r="CH26" s="189">
        <v>2</v>
      </c>
      <c r="CI26" s="57">
        <f t="shared" si="163"/>
        <v>9856</v>
      </c>
      <c r="CJ26" s="20">
        <v>0.26</v>
      </c>
      <c r="CK26" s="95">
        <f t="shared" si="164"/>
        <v>7293.4400000000005</v>
      </c>
      <c r="CL26" s="190">
        <v>4928</v>
      </c>
      <c r="CM26" s="189">
        <v>2</v>
      </c>
      <c r="CN26" s="57">
        <f t="shared" si="165"/>
        <v>9856</v>
      </c>
      <c r="CO26" s="20">
        <v>0.26</v>
      </c>
      <c r="CP26" s="95">
        <f t="shared" si="166"/>
        <v>7293.4400000000005</v>
      </c>
      <c r="CQ26" s="190">
        <v>4928</v>
      </c>
      <c r="CR26" s="189">
        <v>3</v>
      </c>
      <c r="CS26" s="57">
        <f t="shared" si="167"/>
        <v>14784</v>
      </c>
      <c r="CT26" s="20">
        <v>0.26</v>
      </c>
      <c r="CU26" s="95">
        <f t="shared" si="168"/>
        <v>10940.16</v>
      </c>
      <c r="CV26" s="120"/>
      <c r="CW26" s="19"/>
      <c r="CX26" s="57">
        <f t="shared" si="169"/>
        <v>0</v>
      </c>
      <c r="CY26" s="20"/>
      <c r="CZ26" s="95">
        <f t="shared" si="170"/>
        <v>0</v>
      </c>
      <c r="DA26" s="120"/>
      <c r="DB26" s="19"/>
      <c r="DC26" s="57">
        <f t="shared" si="171"/>
        <v>0</v>
      </c>
      <c r="DD26" s="20"/>
      <c r="DE26" s="95">
        <f t="shared" si="172"/>
        <v>0</v>
      </c>
      <c r="DF26" s="91"/>
      <c r="DG26" s="19"/>
      <c r="DH26" s="57">
        <f t="shared" si="173"/>
        <v>0</v>
      </c>
      <c r="DI26" s="20"/>
      <c r="DJ26" s="100">
        <f t="shared" si="174"/>
        <v>0</v>
      </c>
      <c r="DK26" s="91"/>
      <c r="DL26" s="19"/>
      <c r="DM26" s="57">
        <f t="shared" si="175"/>
        <v>0</v>
      </c>
      <c r="DN26" s="20"/>
      <c r="DO26" s="100">
        <f t="shared" si="176"/>
        <v>0</v>
      </c>
      <c r="DP26" s="91"/>
      <c r="DQ26" s="19"/>
      <c r="DR26" s="57">
        <f t="shared" si="177"/>
        <v>0</v>
      </c>
      <c r="DS26" s="20"/>
      <c r="DT26" s="100">
        <f t="shared" si="178"/>
        <v>0</v>
      </c>
      <c r="DU26" s="91"/>
      <c r="DV26" s="19"/>
      <c r="DW26" s="57">
        <f t="shared" si="179"/>
        <v>0</v>
      </c>
      <c r="DX26" s="20"/>
      <c r="DY26" s="100">
        <f t="shared" si="180"/>
        <v>0</v>
      </c>
      <c r="DZ26" s="91"/>
      <c r="EA26" s="19"/>
      <c r="EB26" s="57">
        <f t="shared" si="181"/>
        <v>0</v>
      </c>
      <c r="EC26" s="20"/>
      <c r="ED26" s="100">
        <f t="shared" si="182"/>
        <v>0</v>
      </c>
      <c r="EE26" s="91"/>
      <c r="EF26" s="19"/>
      <c r="EG26" s="57">
        <f t="shared" si="183"/>
        <v>0</v>
      </c>
      <c r="EH26" s="20"/>
      <c r="EI26" s="100">
        <f t="shared" si="184"/>
        <v>0</v>
      </c>
      <c r="EJ26" s="91"/>
      <c r="EK26" s="19"/>
      <c r="EL26" s="57">
        <f t="shared" si="185"/>
        <v>0</v>
      </c>
      <c r="EM26" s="20"/>
      <c r="EN26" s="100">
        <f t="shared" si="186"/>
        <v>0</v>
      </c>
      <c r="EO26" s="91"/>
      <c r="EP26" s="19"/>
      <c r="EQ26" s="57">
        <f t="shared" si="187"/>
        <v>0</v>
      </c>
      <c r="ER26" s="20"/>
      <c r="ES26" s="100">
        <f t="shared" si="188"/>
        <v>0</v>
      </c>
      <c r="ET26" s="55"/>
      <c r="EU26" s="55"/>
    </row>
    <row r="27" spans="1:151" x14ac:dyDescent="0.25">
      <c r="A27" s="177" t="s">
        <v>115</v>
      </c>
      <c r="B27" s="107">
        <f t="shared" si="134"/>
        <v>19050.559999999998</v>
      </c>
      <c r="C27" s="91"/>
      <c r="D27" s="19"/>
      <c r="E27" s="57">
        <f t="shared" si="135"/>
        <v>0</v>
      </c>
      <c r="F27" s="20"/>
      <c r="G27" s="95">
        <f t="shared" si="136"/>
        <v>0</v>
      </c>
      <c r="H27" s="120"/>
      <c r="I27" s="19"/>
      <c r="J27" s="57">
        <f t="shared" si="137"/>
        <v>0</v>
      </c>
      <c r="K27" s="20"/>
      <c r="L27" s="95">
        <f t="shared" si="138"/>
        <v>0</v>
      </c>
      <c r="M27" s="120"/>
      <c r="N27" s="19"/>
      <c r="O27" s="57">
        <f t="shared" ref="O27:O30" si="190">SUM(M27*N27)</f>
        <v>0</v>
      </c>
      <c r="P27" s="20"/>
      <c r="Q27" s="95">
        <f t="shared" ref="Q27:Q30" si="191">O27-O27*P27</f>
        <v>0</v>
      </c>
      <c r="R27" s="120"/>
      <c r="S27" s="19"/>
      <c r="T27" s="57">
        <f t="shared" ref="T27:T30" si="192">SUM(R27*S27)</f>
        <v>0</v>
      </c>
      <c r="U27" s="20"/>
      <c r="V27" s="95">
        <f t="shared" si="141"/>
        <v>0</v>
      </c>
      <c r="W27" s="120"/>
      <c r="X27" s="19"/>
      <c r="Y27" s="57">
        <f t="shared" ref="Y27:Y30" si="193">SUM(W27*X27)</f>
        <v>0</v>
      </c>
      <c r="Z27" s="20"/>
      <c r="AA27" s="95">
        <f t="shared" ref="AA27:AA30" si="194">Y27-Y27*Z27</f>
        <v>0</v>
      </c>
      <c r="AB27" s="120"/>
      <c r="AC27" s="19"/>
      <c r="AD27" s="57">
        <f t="shared" ref="AD27:AD30" si="195">SUM(AB27*AC27)</f>
        <v>0</v>
      </c>
      <c r="AE27" s="20"/>
      <c r="AF27" s="95">
        <f t="shared" si="144"/>
        <v>0</v>
      </c>
      <c r="AG27" s="175"/>
      <c r="AH27" s="19"/>
      <c r="AI27" s="57">
        <f t="shared" si="145"/>
        <v>0</v>
      </c>
      <c r="AJ27" s="20"/>
      <c r="AK27" s="176">
        <f t="shared" si="146"/>
        <v>0</v>
      </c>
      <c r="AL27" s="190">
        <v>12872</v>
      </c>
      <c r="AM27" s="189">
        <v>1</v>
      </c>
      <c r="AN27" s="57">
        <f t="shared" si="147"/>
        <v>12872</v>
      </c>
      <c r="AO27" s="20">
        <v>0.26</v>
      </c>
      <c r="AP27" s="100">
        <f t="shared" si="148"/>
        <v>9525.2799999999988</v>
      </c>
      <c r="AQ27" s="91"/>
      <c r="AR27" s="19"/>
      <c r="AS27" s="57">
        <f t="shared" ref="AS27:AS30" si="196">SUM(AQ27*AR27)</f>
        <v>0</v>
      </c>
      <c r="AT27" s="20"/>
      <c r="AU27" s="100">
        <f t="shared" ref="AU27:AU30" si="197">AS27-AS27*AT27</f>
        <v>0</v>
      </c>
      <c r="AV27" s="91"/>
      <c r="AW27" s="19"/>
      <c r="AX27" s="57">
        <f t="shared" ref="AX27:AX30" si="198">SUM(AV27*AW27)</f>
        <v>0</v>
      </c>
      <c r="AY27" s="20"/>
      <c r="AZ27" s="100">
        <f t="shared" si="151"/>
        <v>0</v>
      </c>
      <c r="BA27" s="190">
        <v>12872</v>
      </c>
      <c r="BB27" s="189">
        <v>1</v>
      </c>
      <c r="BC27" s="57">
        <f t="shared" si="152"/>
        <v>12872</v>
      </c>
      <c r="BD27" s="20">
        <v>0.26</v>
      </c>
      <c r="BE27" s="176">
        <f t="shared" si="153"/>
        <v>9525.2799999999988</v>
      </c>
      <c r="BF27" s="175"/>
      <c r="BG27" s="19"/>
      <c r="BH27" s="57">
        <f t="shared" ref="BH27:BH28" si="199">SUM(BF27*BG27)</f>
        <v>0</v>
      </c>
      <c r="BI27" s="20"/>
      <c r="BJ27" s="100">
        <f t="shared" si="154"/>
        <v>0</v>
      </c>
      <c r="BK27" s="175">
        <v>8927.5</v>
      </c>
      <c r="BL27" s="189">
        <v>0</v>
      </c>
      <c r="BM27" s="57">
        <f t="shared" si="155"/>
        <v>0</v>
      </c>
      <c r="BN27" s="20">
        <v>0.26</v>
      </c>
      <c r="BO27" s="100">
        <f t="shared" si="156"/>
        <v>0</v>
      </c>
      <c r="BP27" s="91"/>
      <c r="BQ27" s="19"/>
      <c r="BR27" s="57">
        <f t="shared" ref="BR27:BR30" si="200">SUM(BP27*BQ27)</f>
        <v>0</v>
      </c>
      <c r="BS27" s="20"/>
      <c r="BT27" s="100">
        <f t="shared" si="158"/>
        <v>0</v>
      </c>
      <c r="BU27" s="55"/>
      <c r="BV27" s="107">
        <f t="shared" si="189"/>
        <v>0</v>
      </c>
      <c r="BW27" s="91"/>
      <c r="BX27" s="19"/>
      <c r="BY27" s="57">
        <f t="shared" si="159"/>
        <v>0</v>
      </c>
      <c r="BZ27" s="20"/>
      <c r="CA27" s="95">
        <f t="shared" si="160"/>
        <v>0</v>
      </c>
      <c r="CB27" s="120"/>
      <c r="CC27" s="19"/>
      <c r="CD27" s="57">
        <f t="shared" ref="CD27:CD30" si="201">SUM(CB27*CC27)</f>
        <v>0</v>
      </c>
      <c r="CE27" s="20"/>
      <c r="CF27" s="95">
        <f t="shared" si="162"/>
        <v>0</v>
      </c>
      <c r="CG27" s="120"/>
      <c r="CH27" s="19"/>
      <c r="CI27" s="57">
        <f t="shared" ref="CI27:CI30" si="202">SUM(CG27*CH27)</f>
        <v>0</v>
      </c>
      <c r="CJ27" s="20"/>
      <c r="CK27" s="95">
        <f t="shared" si="164"/>
        <v>0</v>
      </c>
      <c r="CL27" s="120"/>
      <c r="CM27" s="19"/>
      <c r="CN27" s="57">
        <f t="shared" ref="CN27:CN30" si="203">SUM(CL27*CM27)</f>
        <v>0</v>
      </c>
      <c r="CO27" s="20"/>
      <c r="CP27" s="95">
        <f t="shared" si="166"/>
        <v>0</v>
      </c>
      <c r="CQ27" s="120"/>
      <c r="CR27" s="19"/>
      <c r="CS27" s="57">
        <f t="shared" ref="CS27:CS30" si="204">SUM(CQ27*CR27)</f>
        <v>0</v>
      </c>
      <c r="CT27" s="20"/>
      <c r="CU27" s="95">
        <f t="shared" si="168"/>
        <v>0</v>
      </c>
      <c r="CV27" s="120"/>
      <c r="CW27" s="19"/>
      <c r="CX27" s="57">
        <f t="shared" si="169"/>
        <v>0</v>
      </c>
      <c r="CY27" s="20"/>
      <c r="CZ27" s="95">
        <f t="shared" si="170"/>
        <v>0</v>
      </c>
      <c r="DA27" s="120"/>
      <c r="DB27" s="19"/>
      <c r="DC27" s="57">
        <f t="shared" si="171"/>
        <v>0</v>
      </c>
      <c r="DD27" s="20"/>
      <c r="DE27" s="95">
        <f t="shared" si="172"/>
        <v>0</v>
      </c>
      <c r="DF27" s="91"/>
      <c r="DG27" s="19"/>
      <c r="DH27" s="57">
        <f t="shared" si="173"/>
        <v>0</v>
      </c>
      <c r="DI27" s="20"/>
      <c r="DJ27" s="100">
        <f t="shared" si="174"/>
        <v>0</v>
      </c>
      <c r="DK27" s="91"/>
      <c r="DL27" s="19"/>
      <c r="DM27" s="57">
        <f t="shared" si="175"/>
        <v>0</v>
      </c>
      <c r="DN27" s="20"/>
      <c r="DO27" s="100">
        <f t="shared" si="176"/>
        <v>0</v>
      </c>
      <c r="DP27" s="91"/>
      <c r="DQ27" s="19"/>
      <c r="DR27" s="57">
        <f t="shared" si="177"/>
        <v>0</v>
      </c>
      <c r="DS27" s="20"/>
      <c r="DT27" s="100">
        <f t="shared" si="178"/>
        <v>0</v>
      </c>
      <c r="DU27" s="91"/>
      <c r="DV27" s="19"/>
      <c r="DW27" s="57">
        <f t="shared" si="179"/>
        <v>0</v>
      </c>
      <c r="DX27" s="20"/>
      <c r="DY27" s="100">
        <f t="shared" si="180"/>
        <v>0</v>
      </c>
      <c r="DZ27" s="91"/>
      <c r="EA27" s="19"/>
      <c r="EB27" s="57">
        <f t="shared" si="181"/>
        <v>0</v>
      </c>
      <c r="EC27" s="20"/>
      <c r="ED27" s="100">
        <f t="shared" si="182"/>
        <v>0</v>
      </c>
      <c r="EE27" s="91"/>
      <c r="EF27" s="19"/>
      <c r="EG27" s="57">
        <f t="shared" si="183"/>
        <v>0</v>
      </c>
      <c r="EH27" s="20"/>
      <c r="EI27" s="100">
        <f t="shared" si="184"/>
        <v>0</v>
      </c>
      <c r="EJ27" s="91"/>
      <c r="EK27" s="19"/>
      <c r="EL27" s="57">
        <f t="shared" si="185"/>
        <v>0</v>
      </c>
      <c r="EM27" s="20"/>
      <c r="EN27" s="100">
        <f t="shared" si="186"/>
        <v>0</v>
      </c>
      <c r="EO27" s="91"/>
      <c r="EP27" s="19"/>
      <c r="EQ27" s="57">
        <f t="shared" si="187"/>
        <v>0</v>
      </c>
      <c r="ER27" s="20"/>
      <c r="ES27" s="100">
        <f t="shared" si="188"/>
        <v>0</v>
      </c>
      <c r="ET27" s="55"/>
      <c r="EU27" s="55"/>
    </row>
    <row r="28" spans="1:151" x14ac:dyDescent="0.25">
      <c r="A28" s="177" t="s">
        <v>116</v>
      </c>
      <c r="B28" s="107">
        <f t="shared" si="134"/>
        <v>124892.76000000001</v>
      </c>
      <c r="C28" s="91"/>
      <c r="D28" s="19"/>
      <c r="E28" s="57">
        <f t="shared" si="135"/>
        <v>0</v>
      </c>
      <c r="F28" s="20"/>
      <c r="G28" s="95">
        <f t="shared" si="136"/>
        <v>0</v>
      </c>
      <c r="H28" s="120"/>
      <c r="I28" s="19"/>
      <c r="J28" s="57">
        <f t="shared" si="137"/>
        <v>0</v>
      </c>
      <c r="K28" s="20"/>
      <c r="L28" s="95">
        <f t="shared" si="138"/>
        <v>0</v>
      </c>
      <c r="M28" s="120"/>
      <c r="N28" s="19"/>
      <c r="O28" s="57">
        <f t="shared" si="190"/>
        <v>0</v>
      </c>
      <c r="P28" s="20"/>
      <c r="Q28" s="95">
        <f t="shared" si="191"/>
        <v>0</v>
      </c>
      <c r="R28" s="120"/>
      <c r="S28" s="19"/>
      <c r="T28" s="57">
        <f t="shared" si="192"/>
        <v>0</v>
      </c>
      <c r="U28" s="20"/>
      <c r="V28" s="95">
        <f t="shared" si="141"/>
        <v>0</v>
      </c>
      <c r="W28" s="120"/>
      <c r="X28" s="19"/>
      <c r="Y28" s="57">
        <f t="shared" si="193"/>
        <v>0</v>
      </c>
      <c r="Z28" s="20"/>
      <c r="AA28" s="95">
        <f t="shared" si="194"/>
        <v>0</v>
      </c>
      <c r="AB28" s="120"/>
      <c r="AC28" s="19"/>
      <c r="AD28" s="57">
        <f t="shared" si="195"/>
        <v>0</v>
      </c>
      <c r="AE28" s="20"/>
      <c r="AF28" s="95">
        <f t="shared" si="144"/>
        <v>0</v>
      </c>
      <c r="AG28" s="175"/>
      <c r="AH28" s="19"/>
      <c r="AI28" s="57">
        <f t="shared" si="145"/>
        <v>0</v>
      </c>
      <c r="AJ28" s="20"/>
      <c r="AK28" s="176">
        <f t="shared" si="146"/>
        <v>0</v>
      </c>
      <c r="AL28" s="190">
        <v>14064.5</v>
      </c>
      <c r="AM28" s="189">
        <v>6</v>
      </c>
      <c r="AN28" s="57">
        <f t="shared" si="147"/>
        <v>84387</v>
      </c>
      <c r="AO28" s="20">
        <v>0.26</v>
      </c>
      <c r="AP28" s="100">
        <f t="shared" si="148"/>
        <v>62446.380000000005</v>
      </c>
      <c r="AQ28" s="91"/>
      <c r="AR28" s="19"/>
      <c r="AS28" s="57">
        <f t="shared" si="196"/>
        <v>0</v>
      </c>
      <c r="AT28" s="20"/>
      <c r="AU28" s="100">
        <f t="shared" si="197"/>
        <v>0</v>
      </c>
      <c r="AV28" s="91"/>
      <c r="AW28" s="19"/>
      <c r="AX28" s="57">
        <f t="shared" si="198"/>
        <v>0</v>
      </c>
      <c r="AY28" s="20"/>
      <c r="AZ28" s="100">
        <f t="shared" si="151"/>
        <v>0</v>
      </c>
      <c r="BA28" s="190">
        <v>14064.5</v>
      </c>
      <c r="BB28" s="189">
        <v>6</v>
      </c>
      <c r="BC28" s="57">
        <f t="shared" si="152"/>
        <v>84387</v>
      </c>
      <c r="BD28" s="20">
        <v>0.26</v>
      </c>
      <c r="BE28" s="176">
        <f t="shared" si="153"/>
        <v>62446.380000000005</v>
      </c>
      <c r="BF28" s="175"/>
      <c r="BG28" s="19"/>
      <c r="BH28" s="57">
        <f t="shared" si="199"/>
        <v>0</v>
      </c>
      <c r="BI28" s="20"/>
      <c r="BJ28" s="100">
        <f t="shared" si="154"/>
        <v>0</v>
      </c>
      <c r="BK28" s="175">
        <v>11000</v>
      </c>
      <c r="BL28" s="189">
        <v>0</v>
      </c>
      <c r="BM28" s="57">
        <f t="shared" si="155"/>
        <v>0</v>
      </c>
      <c r="BN28" s="20">
        <v>0.26</v>
      </c>
      <c r="BO28" s="100">
        <f t="shared" si="156"/>
        <v>0</v>
      </c>
      <c r="BP28" s="91"/>
      <c r="BQ28" s="19"/>
      <c r="BR28" s="57">
        <f t="shared" si="200"/>
        <v>0</v>
      </c>
      <c r="BS28" s="20"/>
      <c r="BT28" s="100">
        <f t="shared" si="158"/>
        <v>0</v>
      </c>
      <c r="BU28" s="55"/>
      <c r="BV28" s="107">
        <f t="shared" si="189"/>
        <v>0</v>
      </c>
      <c r="BW28" s="91"/>
      <c r="BX28" s="19"/>
      <c r="BY28" s="57">
        <f t="shared" si="159"/>
        <v>0</v>
      </c>
      <c r="BZ28" s="20"/>
      <c r="CA28" s="95">
        <f t="shared" si="160"/>
        <v>0</v>
      </c>
      <c r="CB28" s="120"/>
      <c r="CC28" s="19"/>
      <c r="CD28" s="57">
        <f t="shared" si="201"/>
        <v>0</v>
      </c>
      <c r="CE28" s="20"/>
      <c r="CF28" s="95">
        <f t="shared" si="162"/>
        <v>0</v>
      </c>
      <c r="CG28" s="120"/>
      <c r="CH28" s="19"/>
      <c r="CI28" s="57">
        <f t="shared" si="202"/>
        <v>0</v>
      </c>
      <c r="CJ28" s="20"/>
      <c r="CK28" s="95">
        <f t="shared" si="164"/>
        <v>0</v>
      </c>
      <c r="CL28" s="120"/>
      <c r="CM28" s="19"/>
      <c r="CN28" s="57">
        <f t="shared" si="203"/>
        <v>0</v>
      </c>
      <c r="CO28" s="20"/>
      <c r="CP28" s="95">
        <f t="shared" si="166"/>
        <v>0</v>
      </c>
      <c r="CQ28" s="120"/>
      <c r="CR28" s="19"/>
      <c r="CS28" s="57">
        <f t="shared" si="204"/>
        <v>0</v>
      </c>
      <c r="CT28" s="20"/>
      <c r="CU28" s="95">
        <f t="shared" si="168"/>
        <v>0</v>
      </c>
      <c r="CV28" s="120"/>
      <c r="CW28" s="19"/>
      <c r="CX28" s="57">
        <f t="shared" si="169"/>
        <v>0</v>
      </c>
      <c r="CY28" s="20"/>
      <c r="CZ28" s="95">
        <f t="shared" si="170"/>
        <v>0</v>
      </c>
      <c r="DA28" s="120"/>
      <c r="DB28" s="19"/>
      <c r="DC28" s="57">
        <f t="shared" si="171"/>
        <v>0</v>
      </c>
      <c r="DD28" s="20"/>
      <c r="DE28" s="95">
        <f t="shared" si="172"/>
        <v>0</v>
      </c>
      <c r="DF28" s="91"/>
      <c r="DG28" s="19"/>
      <c r="DH28" s="57">
        <f t="shared" si="173"/>
        <v>0</v>
      </c>
      <c r="DI28" s="20"/>
      <c r="DJ28" s="100">
        <f t="shared" si="174"/>
        <v>0</v>
      </c>
      <c r="DK28" s="91"/>
      <c r="DL28" s="19"/>
      <c r="DM28" s="57">
        <f t="shared" si="175"/>
        <v>0</v>
      </c>
      <c r="DN28" s="20"/>
      <c r="DO28" s="100">
        <f t="shared" si="176"/>
        <v>0</v>
      </c>
      <c r="DP28" s="91"/>
      <c r="DQ28" s="19"/>
      <c r="DR28" s="57">
        <f t="shared" si="177"/>
        <v>0</v>
      </c>
      <c r="DS28" s="20"/>
      <c r="DT28" s="100">
        <f t="shared" si="178"/>
        <v>0</v>
      </c>
      <c r="DU28" s="91"/>
      <c r="DV28" s="19"/>
      <c r="DW28" s="57">
        <f t="shared" si="179"/>
        <v>0</v>
      </c>
      <c r="DX28" s="20"/>
      <c r="DY28" s="100">
        <f t="shared" si="180"/>
        <v>0</v>
      </c>
      <c r="DZ28" s="91"/>
      <c r="EA28" s="19"/>
      <c r="EB28" s="57">
        <f t="shared" si="181"/>
        <v>0</v>
      </c>
      <c r="EC28" s="20"/>
      <c r="ED28" s="100">
        <f t="shared" si="182"/>
        <v>0</v>
      </c>
      <c r="EE28" s="91"/>
      <c r="EF28" s="19"/>
      <c r="EG28" s="57">
        <f t="shared" si="183"/>
        <v>0</v>
      </c>
      <c r="EH28" s="20"/>
      <c r="EI28" s="100">
        <f t="shared" si="184"/>
        <v>0</v>
      </c>
      <c r="EJ28" s="91"/>
      <c r="EK28" s="19"/>
      <c r="EL28" s="57">
        <f t="shared" si="185"/>
        <v>0</v>
      </c>
      <c r="EM28" s="20"/>
      <c r="EN28" s="100">
        <f t="shared" si="186"/>
        <v>0</v>
      </c>
      <c r="EO28" s="91"/>
      <c r="EP28" s="19"/>
      <c r="EQ28" s="57">
        <f t="shared" si="187"/>
        <v>0</v>
      </c>
      <c r="ER28" s="20"/>
      <c r="ES28" s="100">
        <f t="shared" si="188"/>
        <v>0</v>
      </c>
      <c r="ET28" s="55"/>
      <c r="EU28" s="55"/>
    </row>
    <row r="29" spans="1:151" x14ac:dyDescent="0.25">
      <c r="A29" s="18" t="s">
        <v>106</v>
      </c>
      <c r="B29" s="107">
        <f t="shared" si="134"/>
        <v>0</v>
      </c>
      <c r="C29" s="91"/>
      <c r="D29" s="19"/>
      <c r="E29" s="57">
        <f t="shared" si="135"/>
        <v>0</v>
      </c>
      <c r="F29" s="20"/>
      <c r="G29" s="95">
        <f t="shared" si="136"/>
        <v>0</v>
      </c>
      <c r="H29" s="120"/>
      <c r="I29" s="19"/>
      <c r="J29" s="57">
        <f t="shared" si="137"/>
        <v>0</v>
      </c>
      <c r="K29" s="20"/>
      <c r="L29" s="95">
        <f t="shared" si="138"/>
        <v>0</v>
      </c>
      <c r="M29" s="120"/>
      <c r="N29" s="19"/>
      <c r="O29" s="57">
        <f t="shared" si="190"/>
        <v>0</v>
      </c>
      <c r="P29" s="20"/>
      <c r="Q29" s="95">
        <f t="shared" si="191"/>
        <v>0</v>
      </c>
      <c r="R29" s="120"/>
      <c r="S29" s="19"/>
      <c r="T29" s="57">
        <f t="shared" si="192"/>
        <v>0</v>
      </c>
      <c r="U29" s="20"/>
      <c r="V29" s="95">
        <f t="shared" si="141"/>
        <v>0</v>
      </c>
      <c r="W29" s="120"/>
      <c r="X29" s="19"/>
      <c r="Y29" s="57">
        <f t="shared" si="193"/>
        <v>0</v>
      </c>
      <c r="Z29" s="20"/>
      <c r="AA29" s="95">
        <f t="shared" si="194"/>
        <v>0</v>
      </c>
      <c r="AB29" s="120"/>
      <c r="AC29" s="19"/>
      <c r="AD29" s="57">
        <f t="shared" si="195"/>
        <v>0</v>
      </c>
      <c r="AE29" s="20"/>
      <c r="AF29" s="95">
        <f t="shared" si="144"/>
        <v>0</v>
      </c>
      <c r="AG29" s="120"/>
      <c r="AH29" s="19"/>
      <c r="AI29" s="57">
        <f t="shared" ref="AI29:AI30" si="205">SUM(AG29*AH29)</f>
        <v>0</v>
      </c>
      <c r="AJ29" s="20"/>
      <c r="AK29" s="95">
        <f t="shared" ref="AK29:AK30" si="206">AI29-AI29*AJ29</f>
        <v>0</v>
      </c>
      <c r="AL29" s="91"/>
      <c r="AM29" s="19"/>
      <c r="AN29" s="57">
        <f t="shared" ref="AN29:AN30" si="207">SUM(AL29*AM29)</f>
        <v>0</v>
      </c>
      <c r="AO29" s="20"/>
      <c r="AP29" s="100">
        <f t="shared" si="148"/>
        <v>0</v>
      </c>
      <c r="AQ29" s="91"/>
      <c r="AR29" s="19"/>
      <c r="AS29" s="57">
        <f t="shared" si="196"/>
        <v>0</v>
      </c>
      <c r="AT29" s="20"/>
      <c r="AU29" s="100">
        <f t="shared" si="197"/>
        <v>0</v>
      </c>
      <c r="AV29" s="91"/>
      <c r="AW29" s="19"/>
      <c r="AX29" s="57">
        <f t="shared" si="198"/>
        <v>0</v>
      </c>
      <c r="AY29" s="20"/>
      <c r="AZ29" s="100">
        <f t="shared" si="151"/>
        <v>0</v>
      </c>
      <c r="BA29" s="91"/>
      <c r="BB29" s="19"/>
      <c r="BC29" s="57">
        <f t="shared" ref="BC29:BC30" si="208">SUM(BA29*BB29)</f>
        <v>0</v>
      </c>
      <c r="BD29" s="20"/>
      <c r="BE29" s="100">
        <f t="shared" ref="BE29:BE30" si="209">BC29-BC29*BD29</f>
        <v>0</v>
      </c>
      <c r="BF29" s="91"/>
      <c r="BG29" s="19"/>
      <c r="BH29" s="57">
        <f t="shared" ref="BH29:BH30" si="210">SUM(BF29*BG29)</f>
        <v>0</v>
      </c>
      <c r="BI29" s="20"/>
      <c r="BJ29" s="100">
        <f t="shared" si="154"/>
        <v>0</v>
      </c>
      <c r="BK29" s="91"/>
      <c r="BL29" s="19"/>
      <c r="BM29" s="57">
        <f t="shared" ref="BM29:BM30" si="211">SUM(BK29*BL29)</f>
        <v>0</v>
      </c>
      <c r="BN29" s="20"/>
      <c r="BO29" s="100">
        <f t="shared" si="156"/>
        <v>0</v>
      </c>
      <c r="BP29" s="91"/>
      <c r="BQ29" s="19"/>
      <c r="BR29" s="57">
        <f t="shared" si="200"/>
        <v>0</v>
      </c>
      <c r="BS29" s="20"/>
      <c r="BT29" s="100">
        <f t="shared" si="158"/>
        <v>0</v>
      </c>
      <c r="BU29" s="55"/>
      <c r="BV29" s="107">
        <f t="shared" si="189"/>
        <v>0</v>
      </c>
      <c r="BW29" s="91"/>
      <c r="BX29" s="19"/>
      <c r="BY29" s="57">
        <f t="shared" si="159"/>
        <v>0</v>
      </c>
      <c r="BZ29" s="20"/>
      <c r="CA29" s="95">
        <f t="shared" si="160"/>
        <v>0</v>
      </c>
      <c r="CB29" s="120"/>
      <c r="CC29" s="19"/>
      <c r="CD29" s="57">
        <f t="shared" si="201"/>
        <v>0</v>
      </c>
      <c r="CE29" s="20"/>
      <c r="CF29" s="95">
        <f t="shared" si="162"/>
        <v>0</v>
      </c>
      <c r="CG29" s="120"/>
      <c r="CH29" s="19"/>
      <c r="CI29" s="57">
        <f t="shared" si="202"/>
        <v>0</v>
      </c>
      <c r="CJ29" s="20"/>
      <c r="CK29" s="95">
        <f t="shared" si="164"/>
        <v>0</v>
      </c>
      <c r="CL29" s="120"/>
      <c r="CM29" s="19"/>
      <c r="CN29" s="57">
        <f t="shared" si="203"/>
        <v>0</v>
      </c>
      <c r="CO29" s="20"/>
      <c r="CP29" s="95">
        <f t="shared" si="166"/>
        <v>0</v>
      </c>
      <c r="CQ29" s="120"/>
      <c r="CR29" s="19"/>
      <c r="CS29" s="57">
        <f t="shared" si="204"/>
        <v>0</v>
      </c>
      <c r="CT29" s="20"/>
      <c r="CU29" s="95">
        <f t="shared" si="168"/>
        <v>0</v>
      </c>
      <c r="CV29" s="120"/>
      <c r="CW29" s="19"/>
      <c r="CX29" s="57">
        <f t="shared" si="169"/>
        <v>0</v>
      </c>
      <c r="CY29" s="20"/>
      <c r="CZ29" s="95">
        <f t="shared" si="170"/>
        <v>0</v>
      </c>
      <c r="DA29" s="120"/>
      <c r="DB29" s="19"/>
      <c r="DC29" s="57">
        <f t="shared" si="171"/>
        <v>0</v>
      </c>
      <c r="DD29" s="20"/>
      <c r="DE29" s="95">
        <f t="shared" si="172"/>
        <v>0</v>
      </c>
      <c r="DF29" s="91"/>
      <c r="DG29" s="19"/>
      <c r="DH29" s="57">
        <f t="shared" si="173"/>
        <v>0</v>
      </c>
      <c r="DI29" s="20"/>
      <c r="DJ29" s="100">
        <f t="shared" si="174"/>
        <v>0</v>
      </c>
      <c r="DK29" s="91"/>
      <c r="DL29" s="19"/>
      <c r="DM29" s="57">
        <f t="shared" si="175"/>
        <v>0</v>
      </c>
      <c r="DN29" s="20"/>
      <c r="DO29" s="100">
        <f t="shared" si="176"/>
        <v>0</v>
      </c>
      <c r="DP29" s="91"/>
      <c r="DQ29" s="19"/>
      <c r="DR29" s="57">
        <f t="shared" si="177"/>
        <v>0</v>
      </c>
      <c r="DS29" s="20"/>
      <c r="DT29" s="100">
        <f t="shared" si="178"/>
        <v>0</v>
      </c>
      <c r="DU29" s="91"/>
      <c r="DV29" s="19"/>
      <c r="DW29" s="57">
        <f t="shared" si="179"/>
        <v>0</v>
      </c>
      <c r="DX29" s="20"/>
      <c r="DY29" s="100">
        <f t="shared" si="180"/>
        <v>0</v>
      </c>
      <c r="DZ29" s="91"/>
      <c r="EA29" s="19"/>
      <c r="EB29" s="57">
        <f t="shared" si="181"/>
        <v>0</v>
      </c>
      <c r="EC29" s="20"/>
      <c r="ED29" s="100">
        <f t="shared" si="182"/>
        <v>0</v>
      </c>
      <c r="EE29" s="91"/>
      <c r="EF29" s="19"/>
      <c r="EG29" s="57">
        <f t="shared" si="183"/>
        <v>0</v>
      </c>
      <c r="EH29" s="20"/>
      <c r="EI29" s="100">
        <f t="shared" si="184"/>
        <v>0</v>
      </c>
      <c r="EJ29" s="91"/>
      <c r="EK29" s="19"/>
      <c r="EL29" s="57">
        <f t="shared" si="185"/>
        <v>0</v>
      </c>
      <c r="EM29" s="20"/>
      <c r="EN29" s="100">
        <f t="shared" si="186"/>
        <v>0</v>
      </c>
      <c r="EO29" s="91"/>
      <c r="EP29" s="19"/>
      <c r="EQ29" s="57">
        <f t="shared" si="187"/>
        <v>0</v>
      </c>
      <c r="ER29" s="20"/>
      <c r="ES29" s="100">
        <f t="shared" si="188"/>
        <v>0</v>
      </c>
      <c r="ET29" s="55"/>
      <c r="EU29" s="55"/>
    </row>
    <row r="30" spans="1:151" x14ac:dyDescent="0.25">
      <c r="A30" s="18"/>
      <c r="B30" s="107">
        <f t="shared" si="134"/>
        <v>0</v>
      </c>
      <c r="C30" s="91"/>
      <c r="D30" s="19"/>
      <c r="E30" s="57">
        <f t="shared" si="135"/>
        <v>0</v>
      </c>
      <c r="F30" s="20"/>
      <c r="G30" s="95">
        <f t="shared" si="136"/>
        <v>0</v>
      </c>
      <c r="H30" s="120"/>
      <c r="I30" s="19"/>
      <c r="J30" s="57">
        <f t="shared" si="137"/>
        <v>0</v>
      </c>
      <c r="K30" s="20"/>
      <c r="L30" s="95">
        <f t="shared" si="138"/>
        <v>0</v>
      </c>
      <c r="M30" s="120"/>
      <c r="N30" s="19"/>
      <c r="O30" s="57">
        <f t="shared" si="190"/>
        <v>0</v>
      </c>
      <c r="P30" s="20"/>
      <c r="Q30" s="95">
        <f t="shared" si="191"/>
        <v>0</v>
      </c>
      <c r="R30" s="120"/>
      <c r="S30" s="19"/>
      <c r="T30" s="57">
        <f t="shared" si="192"/>
        <v>0</v>
      </c>
      <c r="U30" s="20"/>
      <c r="V30" s="95">
        <f t="shared" si="141"/>
        <v>0</v>
      </c>
      <c r="W30" s="120"/>
      <c r="X30" s="19"/>
      <c r="Y30" s="57">
        <f t="shared" si="193"/>
        <v>0</v>
      </c>
      <c r="Z30" s="20"/>
      <c r="AA30" s="95">
        <f t="shared" si="194"/>
        <v>0</v>
      </c>
      <c r="AB30" s="120"/>
      <c r="AC30" s="19"/>
      <c r="AD30" s="57">
        <f t="shared" si="195"/>
        <v>0</v>
      </c>
      <c r="AE30" s="20"/>
      <c r="AF30" s="95">
        <f t="shared" si="144"/>
        <v>0</v>
      </c>
      <c r="AG30" s="120"/>
      <c r="AH30" s="19"/>
      <c r="AI30" s="57">
        <f t="shared" si="205"/>
        <v>0</v>
      </c>
      <c r="AJ30" s="20"/>
      <c r="AK30" s="95">
        <f t="shared" si="206"/>
        <v>0</v>
      </c>
      <c r="AL30" s="91"/>
      <c r="AM30" s="19"/>
      <c r="AN30" s="57">
        <f t="shared" si="207"/>
        <v>0</v>
      </c>
      <c r="AO30" s="20"/>
      <c r="AP30" s="100">
        <f t="shared" si="148"/>
        <v>0</v>
      </c>
      <c r="AQ30" s="91"/>
      <c r="AR30" s="19"/>
      <c r="AS30" s="57">
        <f t="shared" si="196"/>
        <v>0</v>
      </c>
      <c r="AT30" s="20"/>
      <c r="AU30" s="100">
        <f t="shared" si="197"/>
        <v>0</v>
      </c>
      <c r="AV30" s="91"/>
      <c r="AW30" s="19"/>
      <c r="AX30" s="57">
        <f t="shared" si="198"/>
        <v>0</v>
      </c>
      <c r="AY30" s="20"/>
      <c r="AZ30" s="100">
        <f t="shared" si="151"/>
        <v>0</v>
      </c>
      <c r="BA30" s="91"/>
      <c r="BB30" s="19"/>
      <c r="BC30" s="57">
        <f t="shared" si="208"/>
        <v>0</v>
      </c>
      <c r="BD30" s="20"/>
      <c r="BE30" s="100">
        <f t="shared" si="209"/>
        <v>0</v>
      </c>
      <c r="BF30" s="91"/>
      <c r="BG30" s="19"/>
      <c r="BH30" s="57">
        <f t="shared" si="210"/>
        <v>0</v>
      </c>
      <c r="BI30" s="20"/>
      <c r="BJ30" s="100">
        <f t="shared" si="154"/>
        <v>0</v>
      </c>
      <c r="BK30" s="91"/>
      <c r="BL30" s="19"/>
      <c r="BM30" s="57">
        <f t="shared" si="211"/>
        <v>0</v>
      </c>
      <c r="BN30" s="20"/>
      <c r="BO30" s="100">
        <f t="shared" si="156"/>
        <v>0</v>
      </c>
      <c r="BP30" s="91"/>
      <c r="BQ30" s="19"/>
      <c r="BR30" s="57">
        <f t="shared" si="200"/>
        <v>0</v>
      </c>
      <c r="BS30" s="20"/>
      <c r="BT30" s="100">
        <f t="shared" si="158"/>
        <v>0</v>
      </c>
      <c r="BU30" s="55"/>
      <c r="BV30" s="107">
        <f t="shared" si="189"/>
        <v>0</v>
      </c>
      <c r="BW30" s="91"/>
      <c r="BX30" s="19"/>
      <c r="BY30" s="57">
        <f t="shared" si="159"/>
        <v>0</v>
      </c>
      <c r="BZ30" s="20"/>
      <c r="CA30" s="95">
        <f t="shared" si="160"/>
        <v>0</v>
      </c>
      <c r="CB30" s="120"/>
      <c r="CC30" s="19"/>
      <c r="CD30" s="57">
        <f t="shared" si="201"/>
        <v>0</v>
      </c>
      <c r="CE30" s="20"/>
      <c r="CF30" s="95">
        <f t="shared" si="162"/>
        <v>0</v>
      </c>
      <c r="CG30" s="120"/>
      <c r="CH30" s="19"/>
      <c r="CI30" s="57">
        <f t="shared" si="202"/>
        <v>0</v>
      </c>
      <c r="CJ30" s="20"/>
      <c r="CK30" s="95">
        <f t="shared" si="164"/>
        <v>0</v>
      </c>
      <c r="CL30" s="120"/>
      <c r="CM30" s="19"/>
      <c r="CN30" s="57">
        <f t="shared" si="203"/>
        <v>0</v>
      </c>
      <c r="CO30" s="20"/>
      <c r="CP30" s="95">
        <f t="shared" si="166"/>
        <v>0</v>
      </c>
      <c r="CQ30" s="120"/>
      <c r="CR30" s="19"/>
      <c r="CS30" s="57">
        <f t="shared" si="204"/>
        <v>0</v>
      </c>
      <c r="CT30" s="20"/>
      <c r="CU30" s="95">
        <f t="shared" si="168"/>
        <v>0</v>
      </c>
      <c r="CV30" s="120"/>
      <c r="CW30" s="19"/>
      <c r="CX30" s="57">
        <f t="shared" si="169"/>
        <v>0</v>
      </c>
      <c r="CY30" s="20"/>
      <c r="CZ30" s="95">
        <f t="shared" si="170"/>
        <v>0</v>
      </c>
      <c r="DA30" s="120"/>
      <c r="DB30" s="19"/>
      <c r="DC30" s="57">
        <f t="shared" si="171"/>
        <v>0</v>
      </c>
      <c r="DD30" s="20"/>
      <c r="DE30" s="95">
        <f t="shared" si="172"/>
        <v>0</v>
      </c>
      <c r="DF30" s="91"/>
      <c r="DG30" s="19"/>
      <c r="DH30" s="57">
        <f t="shared" si="173"/>
        <v>0</v>
      </c>
      <c r="DI30" s="20"/>
      <c r="DJ30" s="100">
        <f t="shared" si="174"/>
        <v>0</v>
      </c>
      <c r="DK30" s="91"/>
      <c r="DL30" s="19"/>
      <c r="DM30" s="57">
        <f t="shared" si="175"/>
        <v>0</v>
      </c>
      <c r="DN30" s="20"/>
      <c r="DO30" s="100">
        <f t="shared" si="176"/>
        <v>0</v>
      </c>
      <c r="DP30" s="91"/>
      <c r="DQ30" s="19"/>
      <c r="DR30" s="57">
        <f t="shared" si="177"/>
        <v>0</v>
      </c>
      <c r="DS30" s="20"/>
      <c r="DT30" s="100">
        <f t="shared" si="178"/>
        <v>0</v>
      </c>
      <c r="DU30" s="91"/>
      <c r="DV30" s="19"/>
      <c r="DW30" s="57">
        <f t="shared" si="179"/>
        <v>0</v>
      </c>
      <c r="DX30" s="20"/>
      <c r="DY30" s="100">
        <f t="shared" si="180"/>
        <v>0</v>
      </c>
      <c r="DZ30" s="91"/>
      <c r="EA30" s="19"/>
      <c r="EB30" s="57">
        <f t="shared" si="181"/>
        <v>0</v>
      </c>
      <c r="EC30" s="20"/>
      <c r="ED30" s="100">
        <f t="shared" si="182"/>
        <v>0</v>
      </c>
      <c r="EE30" s="91"/>
      <c r="EF30" s="19"/>
      <c r="EG30" s="57">
        <f t="shared" si="183"/>
        <v>0</v>
      </c>
      <c r="EH30" s="20"/>
      <c r="EI30" s="100">
        <f t="shared" si="184"/>
        <v>0</v>
      </c>
      <c r="EJ30" s="91"/>
      <c r="EK30" s="19"/>
      <c r="EL30" s="57">
        <f t="shared" si="185"/>
        <v>0</v>
      </c>
      <c r="EM30" s="20"/>
      <c r="EN30" s="100">
        <f t="shared" si="186"/>
        <v>0</v>
      </c>
      <c r="EO30" s="91"/>
      <c r="EP30" s="19"/>
      <c r="EQ30" s="57">
        <f t="shared" si="187"/>
        <v>0</v>
      </c>
      <c r="ER30" s="20"/>
      <c r="ES30" s="100">
        <f t="shared" si="188"/>
        <v>0</v>
      </c>
      <c r="ET30" s="55"/>
      <c r="EU30" s="55"/>
    </row>
    <row r="31" spans="1:151" x14ac:dyDescent="0.25">
      <c r="A31" s="53" t="s">
        <v>107</v>
      </c>
      <c r="B31" s="108">
        <f>SUM(B24:B30)</f>
        <v>3671232.87</v>
      </c>
      <c r="C31" s="92"/>
      <c r="D31" s="54"/>
      <c r="E31" s="82"/>
      <c r="F31" s="17"/>
      <c r="G31" s="96">
        <f>SUM(G24:G30)</f>
        <v>0</v>
      </c>
      <c r="H31" s="121"/>
      <c r="I31" s="54"/>
      <c r="J31" s="82"/>
      <c r="K31" s="17"/>
      <c r="L31" s="96">
        <f>SUM(L24:L30)</f>
        <v>0</v>
      </c>
      <c r="M31" s="121"/>
      <c r="N31" s="54"/>
      <c r="O31" s="82"/>
      <c r="P31" s="17"/>
      <c r="Q31" s="96">
        <f>SUM(Q24:Q30)</f>
        <v>305458.31</v>
      </c>
      <c r="R31" s="121"/>
      <c r="S31" s="54"/>
      <c r="T31" s="82"/>
      <c r="U31" s="17"/>
      <c r="V31" s="96">
        <f>SUM(V24:V30)</f>
        <v>305458.31</v>
      </c>
      <c r="W31" s="121"/>
      <c r="X31" s="54"/>
      <c r="Y31" s="82"/>
      <c r="Z31" s="17"/>
      <c r="AA31" s="96">
        <f>SUM(AA24:AA30)</f>
        <v>433078.89499999996</v>
      </c>
      <c r="AB31" s="121"/>
      <c r="AC31" s="54"/>
      <c r="AD31" s="82"/>
      <c r="AE31" s="17"/>
      <c r="AF31" s="96">
        <f>SUM(AF24:AF30)</f>
        <v>433078.89499999996</v>
      </c>
      <c r="AG31" s="121"/>
      <c r="AH31" s="54"/>
      <c r="AI31" s="82"/>
      <c r="AJ31" s="17"/>
      <c r="AK31" s="96">
        <f>SUM(AK24:AK30)</f>
        <v>370935.36</v>
      </c>
      <c r="AL31" s="92"/>
      <c r="AM31" s="54"/>
      <c r="AN31" s="82"/>
      <c r="AO31" s="17"/>
      <c r="AP31" s="96">
        <f>SUM(AP24:AP30)</f>
        <v>442907.02</v>
      </c>
      <c r="AQ31" s="92"/>
      <c r="AR31" s="54"/>
      <c r="AS31" s="82"/>
      <c r="AT31" s="17"/>
      <c r="AU31" s="96">
        <f>SUM(AU24:AU30)</f>
        <v>373079.69500000001</v>
      </c>
      <c r="AV31" s="92"/>
      <c r="AW31" s="54"/>
      <c r="AX31" s="82"/>
      <c r="AY31" s="17"/>
      <c r="AZ31" s="96">
        <f>SUM(AZ24:AZ30)</f>
        <v>373079.69500000001</v>
      </c>
      <c r="BA31" s="92"/>
      <c r="BB31" s="54"/>
      <c r="BC31" s="82"/>
      <c r="BD31" s="17"/>
      <c r="BE31" s="96">
        <f>SUM(BE24:BE30)</f>
        <v>302279.64</v>
      </c>
      <c r="BF31" s="92"/>
      <c r="BG31" s="54"/>
      <c r="BH31" s="82"/>
      <c r="BI31" s="17"/>
      <c r="BJ31" s="96">
        <f>SUM(BJ24:BJ30)</f>
        <v>193014.94</v>
      </c>
      <c r="BK31" s="92"/>
      <c r="BL31" s="54"/>
      <c r="BM31" s="82"/>
      <c r="BN31" s="17"/>
      <c r="BO31" s="96">
        <f>SUM(BO24:BO30)</f>
        <v>0</v>
      </c>
      <c r="BP31" s="92"/>
      <c r="BQ31" s="54"/>
      <c r="BR31" s="82"/>
      <c r="BS31" s="17"/>
      <c r="BT31" s="96">
        <f>SUM(BT24:BT30)</f>
        <v>138862.10999999999</v>
      </c>
      <c r="BU31" s="55"/>
      <c r="BV31" s="108">
        <f>SUM(BV24:BV30)</f>
        <v>1131071.5</v>
      </c>
      <c r="BW31" s="92"/>
      <c r="BX31" s="54"/>
      <c r="BY31" s="82"/>
      <c r="BZ31" s="17"/>
      <c r="CA31" s="96">
        <f>SUM(CA24:CA30)</f>
        <v>133015.74</v>
      </c>
      <c r="CB31" s="121"/>
      <c r="CC31" s="54"/>
      <c r="CD31" s="82"/>
      <c r="CE31" s="17"/>
      <c r="CF31" s="96">
        <f>SUM(CF24:CF30)</f>
        <v>133015.74</v>
      </c>
      <c r="CG31" s="121"/>
      <c r="CH31" s="54"/>
      <c r="CI31" s="82"/>
      <c r="CJ31" s="17"/>
      <c r="CK31" s="96">
        <f>SUM(CK24:CK30)</f>
        <v>163015.34</v>
      </c>
      <c r="CL31" s="121"/>
      <c r="CM31" s="54"/>
      <c r="CN31" s="82"/>
      <c r="CO31" s="17"/>
      <c r="CP31" s="96">
        <f>SUM(CP24:CP30)</f>
        <v>287202.14</v>
      </c>
      <c r="CQ31" s="121"/>
      <c r="CR31" s="54"/>
      <c r="CS31" s="82"/>
      <c r="CT31" s="17"/>
      <c r="CU31" s="96">
        <f>SUM(CU24:CU30)</f>
        <v>414822.54</v>
      </c>
      <c r="CV31" s="121"/>
      <c r="CW31" s="54"/>
      <c r="CX31" s="82"/>
      <c r="CY31" s="17"/>
      <c r="CZ31" s="96">
        <f>SUM(CZ24:CZ30)</f>
        <v>0</v>
      </c>
      <c r="DA31" s="121"/>
      <c r="DB31" s="54"/>
      <c r="DC31" s="82"/>
      <c r="DD31" s="17"/>
      <c r="DE31" s="96">
        <f>SUM(DE24:DE30)</f>
        <v>0</v>
      </c>
      <c r="DF31" s="92"/>
      <c r="DG31" s="54"/>
      <c r="DH31" s="82"/>
      <c r="DI31" s="17"/>
      <c r="DJ31" s="96">
        <f>SUM(DJ24:DJ30)</f>
        <v>0</v>
      </c>
      <c r="DK31" s="92"/>
      <c r="DL31" s="54"/>
      <c r="DM31" s="82"/>
      <c r="DN31" s="17"/>
      <c r="DO31" s="96">
        <f>SUM(DO24:DO30)</f>
        <v>0</v>
      </c>
      <c r="DP31" s="92"/>
      <c r="DQ31" s="54"/>
      <c r="DR31" s="82"/>
      <c r="DS31" s="17"/>
      <c r="DT31" s="96">
        <f>SUM(DT24:DT30)</f>
        <v>0</v>
      </c>
      <c r="DU31" s="92"/>
      <c r="DV31" s="54"/>
      <c r="DW31" s="82"/>
      <c r="DX31" s="17"/>
      <c r="DY31" s="96">
        <f>SUM(DY24:DY30)</f>
        <v>0</v>
      </c>
      <c r="DZ31" s="92"/>
      <c r="EA31" s="54"/>
      <c r="EB31" s="82"/>
      <c r="EC31" s="17"/>
      <c r="ED31" s="96">
        <f>SUM(ED24:ED30)</f>
        <v>0</v>
      </c>
      <c r="EE31" s="92"/>
      <c r="EF31" s="54"/>
      <c r="EG31" s="82"/>
      <c r="EH31" s="17"/>
      <c r="EI31" s="96">
        <f>SUM(EI24:EI30)</f>
        <v>0</v>
      </c>
      <c r="EJ31" s="92"/>
      <c r="EK31" s="54"/>
      <c r="EL31" s="82"/>
      <c r="EM31" s="17"/>
      <c r="EN31" s="96">
        <f>SUM(EN24:EN30)</f>
        <v>0</v>
      </c>
      <c r="EO31" s="92"/>
      <c r="EP31" s="54"/>
      <c r="EQ31" s="82"/>
      <c r="ER31" s="17"/>
      <c r="ES31" s="96">
        <f>SUM(ES24:ES30)</f>
        <v>0</v>
      </c>
      <c r="ET31" s="55"/>
      <c r="EU31" s="55"/>
    </row>
    <row r="32" spans="1:151" ht="15.75" x14ac:dyDescent="0.25">
      <c r="A32" s="58" t="s">
        <v>8</v>
      </c>
      <c r="B32" s="106"/>
      <c r="C32" s="90"/>
      <c r="D32" s="16"/>
      <c r="E32" s="81"/>
      <c r="F32" s="17"/>
      <c r="G32" s="94"/>
      <c r="H32" s="103"/>
      <c r="I32" s="16"/>
      <c r="J32" s="81"/>
      <c r="K32" s="17"/>
      <c r="L32" s="94"/>
      <c r="M32" s="103"/>
      <c r="N32" s="16"/>
      <c r="O32" s="81"/>
      <c r="P32" s="17"/>
      <c r="Q32" s="94"/>
      <c r="R32" s="103"/>
      <c r="S32" s="16"/>
      <c r="T32" s="81"/>
      <c r="U32" s="17"/>
      <c r="V32" s="94"/>
      <c r="W32" s="103"/>
      <c r="X32" s="16"/>
      <c r="Y32" s="81"/>
      <c r="Z32" s="17"/>
      <c r="AA32" s="94"/>
      <c r="AB32" s="103"/>
      <c r="AC32" s="16"/>
      <c r="AD32" s="81"/>
      <c r="AE32" s="17"/>
      <c r="AF32" s="94"/>
      <c r="AG32" s="103"/>
      <c r="AH32" s="16"/>
      <c r="AI32" s="81"/>
      <c r="AJ32" s="17"/>
      <c r="AK32" s="94"/>
      <c r="AL32" s="90"/>
      <c r="AM32" s="16"/>
      <c r="AN32" s="81"/>
      <c r="AO32" s="17"/>
      <c r="AP32" s="99"/>
      <c r="AQ32" s="90"/>
      <c r="AR32" s="16"/>
      <c r="AS32" s="81"/>
      <c r="AT32" s="17"/>
      <c r="AU32" s="99"/>
      <c r="AV32" s="90"/>
      <c r="AW32" s="16"/>
      <c r="AX32" s="81"/>
      <c r="AY32" s="17"/>
      <c r="AZ32" s="99"/>
      <c r="BA32" s="90"/>
      <c r="BB32" s="16"/>
      <c r="BC32" s="81"/>
      <c r="BD32" s="17"/>
      <c r="BE32" s="99"/>
      <c r="BF32" s="90"/>
      <c r="BG32" s="16"/>
      <c r="BH32" s="81"/>
      <c r="BI32" s="17"/>
      <c r="BJ32" s="99"/>
      <c r="BK32" s="90"/>
      <c r="BL32" s="16"/>
      <c r="BM32" s="81"/>
      <c r="BN32" s="17"/>
      <c r="BO32" s="99"/>
      <c r="BP32" s="90"/>
      <c r="BQ32" s="16"/>
      <c r="BR32" s="81"/>
      <c r="BS32" s="17"/>
      <c r="BT32" s="99"/>
      <c r="BU32" s="55"/>
      <c r="BV32" s="106"/>
      <c r="BW32" s="90"/>
      <c r="BX32" s="16"/>
      <c r="BY32" s="81"/>
      <c r="BZ32" s="17"/>
      <c r="CA32" s="94"/>
      <c r="CB32" s="103"/>
      <c r="CC32" s="16"/>
      <c r="CD32" s="81"/>
      <c r="CE32" s="17"/>
      <c r="CF32" s="94"/>
      <c r="CG32" s="103"/>
      <c r="CH32" s="16"/>
      <c r="CI32" s="81"/>
      <c r="CJ32" s="17"/>
      <c r="CK32" s="94"/>
      <c r="CL32" s="103"/>
      <c r="CM32" s="16"/>
      <c r="CN32" s="81"/>
      <c r="CO32" s="17"/>
      <c r="CP32" s="94"/>
      <c r="CQ32" s="103"/>
      <c r="CR32" s="16"/>
      <c r="CS32" s="81"/>
      <c r="CT32" s="17"/>
      <c r="CU32" s="94"/>
      <c r="CV32" s="103"/>
      <c r="CW32" s="16"/>
      <c r="CX32" s="81"/>
      <c r="CY32" s="17"/>
      <c r="CZ32" s="94"/>
      <c r="DA32" s="103"/>
      <c r="DB32" s="16"/>
      <c r="DC32" s="81"/>
      <c r="DD32" s="17"/>
      <c r="DE32" s="94"/>
      <c r="DF32" s="90"/>
      <c r="DG32" s="16"/>
      <c r="DH32" s="81"/>
      <c r="DI32" s="17"/>
      <c r="DJ32" s="99"/>
      <c r="DK32" s="90"/>
      <c r="DL32" s="16"/>
      <c r="DM32" s="81"/>
      <c r="DN32" s="17"/>
      <c r="DO32" s="99"/>
      <c r="DP32" s="90"/>
      <c r="DQ32" s="16"/>
      <c r="DR32" s="81"/>
      <c r="DS32" s="17"/>
      <c r="DT32" s="99"/>
      <c r="DU32" s="90"/>
      <c r="DV32" s="16"/>
      <c r="DW32" s="81"/>
      <c r="DX32" s="17"/>
      <c r="DY32" s="99"/>
      <c r="DZ32" s="90"/>
      <c r="EA32" s="16"/>
      <c r="EB32" s="81"/>
      <c r="EC32" s="17"/>
      <c r="ED32" s="99"/>
      <c r="EE32" s="90"/>
      <c r="EF32" s="16"/>
      <c r="EG32" s="81"/>
      <c r="EH32" s="17"/>
      <c r="EI32" s="99"/>
      <c r="EJ32" s="90"/>
      <c r="EK32" s="16"/>
      <c r="EL32" s="81"/>
      <c r="EM32" s="17"/>
      <c r="EN32" s="99"/>
      <c r="EO32" s="90"/>
      <c r="EP32" s="16"/>
      <c r="EQ32" s="81"/>
      <c r="ER32" s="17"/>
      <c r="ES32" s="99"/>
      <c r="ET32" s="55"/>
      <c r="EU32" s="55"/>
    </row>
    <row r="33" spans="1:151" x14ac:dyDescent="0.25">
      <c r="A33" s="177" t="s">
        <v>117</v>
      </c>
      <c r="B33" s="107">
        <f t="shared" ref="B33:B50" si="212">G33+L33+Q33+V33+AA33+AF33+AK33+AP33+AU33+AZ33+BE33+BJ33+BO33+BT33</f>
        <v>4912.5</v>
      </c>
      <c r="C33" s="91"/>
      <c r="D33" s="19"/>
      <c r="E33" s="57">
        <f t="shared" ref="E33:E50" si="213">SUM(C33*D33)</f>
        <v>0</v>
      </c>
      <c r="F33" s="20"/>
      <c r="G33" s="95">
        <f t="shared" ref="G33:G50" si="214">E33-E33*F33</f>
        <v>0</v>
      </c>
      <c r="H33" s="120"/>
      <c r="I33" s="19"/>
      <c r="J33" s="57">
        <f t="shared" ref="J33:J50" si="215">SUM(H33*I33)</f>
        <v>0</v>
      </c>
      <c r="K33" s="20"/>
      <c r="L33" s="95">
        <f t="shared" ref="L33:L50" si="216">J33-J33*K33</f>
        <v>0</v>
      </c>
      <c r="M33" s="120"/>
      <c r="N33" s="19"/>
      <c r="O33" s="57">
        <f t="shared" ref="O33:O50" si="217">SUM(M33*N33)</f>
        <v>0</v>
      </c>
      <c r="P33" s="20"/>
      <c r="Q33" s="95">
        <f t="shared" ref="Q33:Q50" si="218">O33-O33*P33</f>
        <v>0</v>
      </c>
      <c r="R33" s="120"/>
      <c r="S33" s="19"/>
      <c r="T33" s="57">
        <f t="shared" ref="T33:T50" si="219">SUM(R33*S33)</f>
        <v>0</v>
      </c>
      <c r="U33" s="20"/>
      <c r="V33" s="95">
        <f t="shared" ref="V33:V50" si="220">T33-T33*U33</f>
        <v>0</v>
      </c>
      <c r="W33" s="120"/>
      <c r="X33" s="19"/>
      <c r="Y33" s="57">
        <f t="shared" ref="Y33:Y50" si="221">SUM(W33*X33)</f>
        <v>0</v>
      </c>
      <c r="Z33" s="20"/>
      <c r="AA33" s="95">
        <f t="shared" ref="AA33:AA50" si="222">Y33-Y33*Z33</f>
        <v>0</v>
      </c>
      <c r="AB33" s="120"/>
      <c r="AC33" s="19"/>
      <c r="AD33" s="57">
        <f t="shared" ref="AD33:AD50" si="223">SUM(AB33*AC33)</f>
        <v>0</v>
      </c>
      <c r="AE33" s="20"/>
      <c r="AF33" s="95">
        <f t="shared" ref="AF33:AF50" si="224">AD33-AD33*AE33</f>
        <v>0</v>
      </c>
      <c r="AG33" s="120"/>
      <c r="AH33" s="19"/>
      <c r="AI33" s="57">
        <f t="shared" ref="AI33:AI50" si="225">SUM(AG33*AH33)</f>
        <v>0</v>
      </c>
      <c r="AJ33" s="20"/>
      <c r="AK33" s="95">
        <f t="shared" ref="AK33:AK50" si="226">AI33-AI33*AJ33</f>
        <v>0</v>
      </c>
      <c r="AL33" s="91"/>
      <c r="AM33" s="19"/>
      <c r="AN33" s="57">
        <f t="shared" ref="AN33:AN50" si="227">SUM(AL33*AM33)</f>
        <v>0</v>
      </c>
      <c r="AO33" s="20"/>
      <c r="AP33" s="100">
        <f t="shared" ref="AP33:AP50" si="228">AN33-AN33*AO33</f>
        <v>0</v>
      </c>
      <c r="AQ33" s="91"/>
      <c r="AR33" s="19"/>
      <c r="AS33" s="57">
        <f t="shared" ref="AS33:AS50" si="229">SUM(AQ33*AR33)</f>
        <v>0</v>
      </c>
      <c r="AT33" s="20"/>
      <c r="AU33" s="100">
        <f t="shared" ref="AU33:AU50" si="230">AS33-AS33*AT33</f>
        <v>0</v>
      </c>
      <c r="AV33" s="91"/>
      <c r="AW33" s="19"/>
      <c r="AX33" s="57">
        <f t="shared" ref="AX33:AX50" si="231">SUM(AV33*AW33)</f>
        <v>0</v>
      </c>
      <c r="AY33" s="20"/>
      <c r="AZ33" s="100">
        <f t="shared" ref="AZ33:AZ50" si="232">AX33-AX33*AY33</f>
        <v>0</v>
      </c>
      <c r="BA33" s="91"/>
      <c r="BB33" s="19"/>
      <c r="BC33" s="57">
        <f t="shared" ref="BC33:BC50" si="233">SUM(BA33*BB33)</f>
        <v>0</v>
      </c>
      <c r="BD33" s="20"/>
      <c r="BE33" s="100">
        <f t="shared" ref="BE33:BE50" si="234">BC33-BC33*BD33</f>
        <v>0</v>
      </c>
      <c r="BF33" s="91"/>
      <c r="BG33" s="19"/>
      <c r="BH33" s="57">
        <f t="shared" ref="BH33:BH50" si="235">SUM(BF33*BG33)</f>
        <v>0</v>
      </c>
      <c r="BI33" s="20"/>
      <c r="BJ33" s="100">
        <f t="shared" ref="BJ33:BJ50" si="236">BH33-BH33*BI33</f>
        <v>0</v>
      </c>
      <c r="BK33" s="91"/>
      <c r="BL33" s="19"/>
      <c r="BM33" s="57">
        <f t="shared" ref="BM33:BM50" si="237">SUM(BK33*BL33)</f>
        <v>0</v>
      </c>
      <c r="BN33" s="20"/>
      <c r="BO33" s="100">
        <f t="shared" ref="BO33:BO50" si="238">BM33-BM33*BN33</f>
        <v>0</v>
      </c>
      <c r="BP33" s="193">
        <v>4912.5</v>
      </c>
      <c r="BQ33" s="189">
        <v>1</v>
      </c>
      <c r="BR33" s="57">
        <f t="shared" ref="BR33:BR50" si="239">SUM(BP33*BQ33)</f>
        <v>4912.5</v>
      </c>
      <c r="BS33" s="20">
        <v>0</v>
      </c>
      <c r="BT33" s="100">
        <f t="shared" ref="BT33:BT50" si="240">BR33-BR33*BS33</f>
        <v>4912.5</v>
      </c>
      <c r="BU33" s="55"/>
      <c r="BV33" s="107">
        <f>CA33+CF33+CK33+CP33+CU33+CZ33+DE33+DJ33+DO33+DT33+DY33+ED33+EI33+EN33+ES33</f>
        <v>14737.5</v>
      </c>
      <c r="BW33" s="193">
        <v>4912.5</v>
      </c>
      <c r="BX33" s="189">
        <v>1</v>
      </c>
      <c r="BY33" s="57">
        <f t="shared" ref="BY33:BY50" si="241">SUM(BW33*BX33)</f>
        <v>4912.5</v>
      </c>
      <c r="BZ33" s="20">
        <v>0</v>
      </c>
      <c r="CA33" s="95">
        <f t="shared" ref="CA33:CA50" si="242">BY33-BY33*BZ33</f>
        <v>4912.5</v>
      </c>
      <c r="CB33" s="193">
        <v>4912.5</v>
      </c>
      <c r="CC33" s="189">
        <v>1</v>
      </c>
      <c r="CD33" s="57">
        <f t="shared" ref="CD33:CD41" si="243">SUM(CB33*CC33)</f>
        <v>4912.5</v>
      </c>
      <c r="CE33" s="20">
        <v>0</v>
      </c>
      <c r="CF33" s="95">
        <f t="shared" ref="CF33:CF50" si="244">CD33-CD33*CE33</f>
        <v>4912.5</v>
      </c>
      <c r="CG33" s="193">
        <v>4912.5</v>
      </c>
      <c r="CH33" s="189">
        <v>1</v>
      </c>
      <c r="CI33" s="57">
        <f t="shared" ref="CI33:CI41" si="245">SUM(CG33*CH33)</f>
        <v>4912.5</v>
      </c>
      <c r="CJ33" s="20">
        <v>0</v>
      </c>
      <c r="CK33" s="95">
        <f t="shared" ref="CK33:CK50" si="246">CI33-CI33*CJ33</f>
        <v>4912.5</v>
      </c>
      <c r="CL33" s="91"/>
      <c r="CM33" s="19"/>
      <c r="CN33" s="57">
        <f t="shared" ref="CN33:CN41" si="247">SUM(CL33*CM33)</f>
        <v>0</v>
      </c>
      <c r="CO33" s="20"/>
      <c r="CP33" s="95">
        <f t="shared" ref="CP33:CP50" si="248">CN33-CN33*CO33</f>
        <v>0</v>
      </c>
      <c r="CQ33" s="91"/>
      <c r="CR33" s="19"/>
      <c r="CS33" s="57">
        <f t="shared" ref="CS33:CS41" si="249">SUM(CQ33*CR33)</f>
        <v>0</v>
      </c>
      <c r="CT33" s="20"/>
      <c r="CU33" s="95">
        <f t="shared" ref="CU33:CU50" si="250">CS33-CS33*CT33</f>
        <v>0</v>
      </c>
      <c r="CV33" s="120"/>
      <c r="CW33" s="19"/>
      <c r="CX33" s="57">
        <f t="shared" ref="CX33:CX50" si="251">SUM(CV33*CW33)</f>
        <v>0</v>
      </c>
      <c r="CY33" s="20"/>
      <c r="CZ33" s="95">
        <f t="shared" ref="CZ33:CZ50" si="252">CX33-CX33*CY33</f>
        <v>0</v>
      </c>
      <c r="DA33" s="120"/>
      <c r="DB33" s="19"/>
      <c r="DC33" s="57">
        <f t="shared" ref="DC33:DC50" si="253">SUM(DA33*DB33)</f>
        <v>0</v>
      </c>
      <c r="DD33" s="20"/>
      <c r="DE33" s="95">
        <f t="shared" ref="DE33:DE50" si="254">DC33-DC33*DD33</f>
        <v>0</v>
      </c>
      <c r="DF33" s="91"/>
      <c r="DG33" s="19"/>
      <c r="DH33" s="57">
        <f t="shared" ref="DH33:DH50" si="255">SUM(DF33*DG33)</f>
        <v>0</v>
      </c>
      <c r="DI33" s="20"/>
      <c r="DJ33" s="100">
        <f t="shared" ref="DJ33:DJ50" si="256">DH33-DH33*DI33</f>
        <v>0</v>
      </c>
      <c r="DK33" s="91"/>
      <c r="DL33" s="19"/>
      <c r="DM33" s="57">
        <f t="shared" ref="DM33:DM50" si="257">SUM(DK33*DL33)</f>
        <v>0</v>
      </c>
      <c r="DN33" s="20"/>
      <c r="DO33" s="100">
        <f t="shared" ref="DO33:DO50" si="258">DM33-DM33*DN33</f>
        <v>0</v>
      </c>
      <c r="DP33" s="91"/>
      <c r="DQ33" s="19"/>
      <c r="DR33" s="57">
        <f t="shared" ref="DR33:DR50" si="259">SUM(DP33*DQ33)</f>
        <v>0</v>
      </c>
      <c r="DS33" s="20"/>
      <c r="DT33" s="100">
        <f t="shared" ref="DT33:DT50" si="260">DR33-DR33*DS33</f>
        <v>0</v>
      </c>
      <c r="DU33" s="91"/>
      <c r="DV33" s="19"/>
      <c r="DW33" s="57">
        <f t="shared" ref="DW33:DW50" si="261">SUM(DU33*DV33)</f>
        <v>0</v>
      </c>
      <c r="DX33" s="20"/>
      <c r="DY33" s="100">
        <f t="shared" ref="DY33:DY50" si="262">DW33-DW33*DX33</f>
        <v>0</v>
      </c>
      <c r="DZ33" s="91"/>
      <c r="EA33" s="19"/>
      <c r="EB33" s="57">
        <f t="shared" ref="EB33:EB50" si="263">SUM(DZ33*EA33)</f>
        <v>0</v>
      </c>
      <c r="EC33" s="20"/>
      <c r="ED33" s="100">
        <f t="shared" ref="ED33:ED50" si="264">EB33-EB33*EC33</f>
        <v>0</v>
      </c>
      <c r="EE33" s="91"/>
      <c r="EF33" s="19"/>
      <c r="EG33" s="57">
        <f t="shared" ref="EG33:EG50" si="265">SUM(EE33*EF33)</f>
        <v>0</v>
      </c>
      <c r="EH33" s="20"/>
      <c r="EI33" s="100">
        <f t="shared" ref="EI33:EI50" si="266">EG33-EG33*EH33</f>
        <v>0</v>
      </c>
      <c r="EJ33" s="91"/>
      <c r="EK33" s="19"/>
      <c r="EL33" s="57">
        <f t="shared" ref="EL33:EL50" si="267">SUM(EJ33*EK33)</f>
        <v>0</v>
      </c>
      <c r="EM33" s="20"/>
      <c r="EN33" s="100">
        <f t="shared" ref="EN33:EN50" si="268">EL33-EL33*EM33</f>
        <v>0</v>
      </c>
      <c r="EO33" s="91"/>
      <c r="EP33" s="19"/>
      <c r="EQ33" s="57">
        <f t="shared" ref="EQ33:EQ50" si="269">SUM(EO33*EP33)</f>
        <v>0</v>
      </c>
      <c r="ER33" s="20"/>
      <c r="ES33" s="100">
        <f t="shared" ref="ES33:ES50" si="270">EQ33-EQ33*ER33</f>
        <v>0</v>
      </c>
      <c r="ET33" s="55"/>
      <c r="EU33" s="55"/>
    </row>
    <row r="34" spans="1:151" x14ac:dyDescent="0.25">
      <c r="A34" s="177" t="s">
        <v>118</v>
      </c>
      <c r="B34" s="107">
        <f t="shared" si="212"/>
        <v>20700</v>
      </c>
      <c r="C34" s="91"/>
      <c r="D34" s="19"/>
      <c r="E34" s="57">
        <f t="shared" si="213"/>
        <v>0</v>
      </c>
      <c r="F34" s="20"/>
      <c r="G34" s="95">
        <f t="shared" si="214"/>
        <v>0</v>
      </c>
      <c r="H34" s="120"/>
      <c r="I34" s="19"/>
      <c r="J34" s="57">
        <f t="shared" si="215"/>
        <v>0</v>
      </c>
      <c r="K34" s="20"/>
      <c r="L34" s="95">
        <f t="shared" si="216"/>
        <v>0</v>
      </c>
      <c r="M34" s="120"/>
      <c r="N34" s="19"/>
      <c r="O34" s="57">
        <f t="shared" si="217"/>
        <v>0</v>
      </c>
      <c r="P34" s="20"/>
      <c r="Q34" s="95">
        <f t="shared" si="218"/>
        <v>0</v>
      </c>
      <c r="R34" s="120"/>
      <c r="S34" s="19"/>
      <c r="T34" s="57">
        <f t="shared" si="219"/>
        <v>0</v>
      </c>
      <c r="U34" s="20"/>
      <c r="V34" s="95">
        <f t="shared" si="220"/>
        <v>0</v>
      </c>
      <c r="W34" s="192">
        <v>6900</v>
      </c>
      <c r="X34" s="189">
        <v>2</v>
      </c>
      <c r="Y34" s="57">
        <f t="shared" si="221"/>
        <v>13800</v>
      </c>
      <c r="Z34" s="20">
        <v>0</v>
      </c>
      <c r="AA34" s="95">
        <f t="shared" si="222"/>
        <v>13800</v>
      </c>
      <c r="AB34" s="120"/>
      <c r="AC34" s="19"/>
      <c r="AD34" s="57">
        <f t="shared" si="223"/>
        <v>0</v>
      </c>
      <c r="AE34" s="20">
        <v>0</v>
      </c>
      <c r="AF34" s="95">
        <f t="shared" si="224"/>
        <v>0</v>
      </c>
      <c r="AG34" s="120"/>
      <c r="AH34" s="19"/>
      <c r="AI34" s="57">
        <f t="shared" si="225"/>
        <v>0</v>
      </c>
      <c r="AJ34" s="20"/>
      <c r="AK34" s="95">
        <f t="shared" si="226"/>
        <v>0</v>
      </c>
      <c r="AL34" s="91"/>
      <c r="AM34" s="19"/>
      <c r="AN34" s="57">
        <f t="shared" si="227"/>
        <v>0</v>
      </c>
      <c r="AO34" s="20"/>
      <c r="AP34" s="100">
        <f t="shared" si="228"/>
        <v>0</v>
      </c>
      <c r="AQ34" s="175">
        <v>8287.5</v>
      </c>
      <c r="AR34" s="189">
        <v>0</v>
      </c>
      <c r="AS34" s="57">
        <f t="shared" si="229"/>
        <v>0</v>
      </c>
      <c r="AT34" s="20">
        <v>0</v>
      </c>
      <c r="AU34" s="176">
        <f t="shared" si="230"/>
        <v>0</v>
      </c>
      <c r="AV34" s="175">
        <v>8287.5</v>
      </c>
      <c r="AW34" s="189">
        <v>0</v>
      </c>
      <c r="AX34" s="57">
        <f t="shared" si="231"/>
        <v>0</v>
      </c>
      <c r="AY34" s="20">
        <v>0</v>
      </c>
      <c r="AZ34" s="100">
        <f t="shared" si="232"/>
        <v>0</v>
      </c>
      <c r="BA34" s="175">
        <v>8287.5</v>
      </c>
      <c r="BB34" s="189">
        <v>0</v>
      </c>
      <c r="BC34" s="57">
        <f t="shared" si="233"/>
        <v>0</v>
      </c>
      <c r="BD34" s="20">
        <v>0</v>
      </c>
      <c r="BE34" s="176">
        <f t="shared" si="234"/>
        <v>0</v>
      </c>
      <c r="BF34" s="175">
        <v>6900</v>
      </c>
      <c r="BG34" s="189">
        <v>1</v>
      </c>
      <c r="BH34" s="57">
        <f t="shared" si="235"/>
        <v>6900</v>
      </c>
      <c r="BI34" s="20">
        <v>0</v>
      </c>
      <c r="BJ34" s="100">
        <f t="shared" si="236"/>
        <v>6900</v>
      </c>
      <c r="BK34" s="91"/>
      <c r="BL34" s="19"/>
      <c r="BM34" s="57">
        <f t="shared" si="237"/>
        <v>0</v>
      </c>
      <c r="BN34" s="20"/>
      <c r="BO34" s="100">
        <f t="shared" si="238"/>
        <v>0</v>
      </c>
      <c r="BP34" s="175">
        <v>13050</v>
      </c>
      <c r="BQ34" s="189">
        <v>0</v>
      </c>
      <c r="BR34" s="57">
        <f t="shared" si="239"/>
        <v>0</v>
      </c>
      <c r="BS34" s="20">
        <v>0.1</v>
      </c>
      <c r="BT34" s="100">
        <f t="shared" si="240"/>
        <v>0</v>
      </c>
      <c r="BU34" s="55"/>
      <c r="BV34" s="107">
        <f t="shared" ref="BV34:BV50" si="271">CA34+CF34+CK34+CP34+CU34+CZ34+DE34+DJ34+DO34+DT34+DY34+ED34+EI34+EN34+ES34</f>
        <v>13800</v>
      </c>
      <c r="BW34" s="91"/>
      <c r="BX34" s="19"/>
      <c r="BY34" s="57">
        <f t="shared" si="241"/>
        <v>0</v>
      </c>
      <c r="BZ34" s="20"/>
      <c r="CA34" s="95">
        <f t="shared" si="242"/>
        <v>0</v>
      </c>
      <c r="CB34" s="91"/>
      <c r="CC34" s="19"/>
      <c r="CD34" s="57">
        <f t="shared" si="243"/>
        <v>0</v>
      </c>
      <c r="CE34" s="20"/>
      <c r="CF34" s="95">
        <f t="shared" si="244"/>
        <v>0</v>
      </c>
      <c r="CG34" s="91"/>
      <c r="CH34" s="19"/>
      <c r="CI34" s="57">
        <f t="shared" si="245"/>
        <v>0</v>
      </c>
      <c r="CJ34" s="20"/>
      <c r="CK34" s="95">
        <f t="shared" si="246"/>
        <v>0</v>
      </c>
      <c r="CL34" s="91"/>
      <c r="CM34" s="19"/>
      <c r="CN34" s="57">
        <f t="shared" si="247"/>
        <v>0</v>
      </c>
      <c r="CO34" s="20"/>
      <c r="CP34" s="95">
        <f t="shared" si="248"/>
        <v>0</v>
      </c>
      <c r="CQ34" s="193">
        <v>6900</v>
      </c>
      <c r="CR34" s="189">
        <v>2</v>
      </c>
      <c r="CS34" s="57">
        <f t="shared" si="249"/>
        <v>13800</v>
      </c>
      <c r="CT34" s="20"/>
      <c r="CU34" s="95">
        <f t="shared" si="250"/>
        <v>13800</v>
      </c>
      <c r="CV34" s="120"/>
      <c r="CW34" s="19"/>
      <c r="CX34" s="57">
        <f t="shared" si="251"/>
        <v>0</v>
      </c>
      <c r="CY34" s="20"/>
      <c r="CZ34" s="95">
        <f t="shared" si="252"/>
        <v>0</v>
      </c>
      <c r="DA34" s="120"/>
      <c r="DB34" s="19"/>
      <c r="DC34" s="57">
        <f t="shared" si="253"/>
        <v>0</v>
      </c>
      <c r="DD34" s="20"/>
      <c r="DE34" s="95">
        <f t="shared" si="254"/>
        <v>0</v>
      </c>
      <c r="DF34" s="91"/>
      <c r="DG34" s="19"/>
      <c r="DH34" s="57">
        <f t="shared" si="255"/>
        <v>0</v>
      </c>
      <c r="DI34" s="20"/>
      <c r="DJ34" s="100">
        <f t="shared" si="256"/>
        <v>0</v>
      </c>
      <c r="DK34" s="91"/>
      <c r="DL34" s="19"/>
      <c r="DM34" s="57">
        <f t="shared" si="257"/>
        <v>0</v>
      </c>
      <c r="DN34" s="20"/>
      <c r="DO34" s="100">
        <f t="shared" si="258"/>
        <v>0</v>
      </c>
      <c r="DP34" s="91"/>
      <c r="DQ34" s="19"/>
      <c r="DR34" s="57">
        <f t="shared" si="259"/>
        <v>0</v>
      </c>
      <c r="DS34" s="20"/>
      <c r="DT34" s="100">
        <f t="shared" si="260"/>
        <v>0</v>
      </c>
      <c r="DU34" s="91"/>
      <c r="DV34" s="19"/>
      <c r="DW34" s="57">
        <f t="shared" si="261"/>
        <v>0</v>
      </c>
      <c r="DX34" s="20"/>
      <c r="DY34" s="100">
        <f t="shared" si="262"/>
        <v>0</v>
      </c>
      <c r="DZ34" s="91"/>
      <c r="EA34" s="19"/>
      <c r="EB34" s="57">
        <f t="shared" si="263"/>
        <v>0</v>
      </c>
      <c r="EC34" s="20"/>
      <c r="ED34" s="100">
        <f t="shared" si="264"/>
        <v>0</v>
      </c>
      <c r="EE34" s="91"/>
      <c r="EF34" s="19"/>
      <c r="EG34" s="57">
        <f t="shared" si="265"/>
        <v>0</v>
      </c>
      <c r="EH34" s="20"/>
      <c r="EI34" s="100">
        <f t="shared" si="266"/>
        <v>0</v>
      </c>
      <c r="EJ34" s="91"/>
      <c r="EK34" s="19"/>
      <c r="EL34" s="57">
        <f t="shared" si="267"/>
        <v>0</v>
      </c>
      <c r="EM34" s="20"/>
      <c r="EN34" s="100">
        <f t="shared" si="268"/>
        <v>0</v>
      </c>
      <c r="EO34" s="91"/>
      <c r="EP34" s="19"/>
      <c r="EQ34" s="57">
        <f t="shared" si="269"/>
        <v>0</v>
      </c>
      <c r="ER34" s="20"/>
      <c r="ES34" s="100">
        <f t="shared" si="270"/>
        <v>0</v>
      </c>
      <c r="ET34" s="55"/>
      <c r="EU34" s="55"/>
    </row>
    <row r="35" spans="1:151" x14ac:dyDescent="0.25">
      <c r="A35" s="177" t="s">
        <v>119</v>
      </c>
      <c r="B35" s="107">
        <f t="shared" si="212"/>
        <v>19762.5</v>
      </c>
      <c r="C35" s="91"/>
      <c r="D35" s="19"/>
      <c r="E35" s="57">
        <f t="shared" si="213"/>
        <v>0</v>
      </c>
      <c r="F35" s="20"/>
      <c r="G35" s="95">
        <f t="shared" si="214"/>
        <v>0</v>
      </c>
      <c r="H35" s="120"/>
      <c r="I35" s="19"/>
      <c r="J35" s="57">
        <f t="shared" si="215"/>
        <v>0</v>
      </c>
      <c r="K35" s="20"/>
      <c r="L35" s="95">
        <f t="shared" si="216"/>
        <v>0</v>
      </c>
      <c r="M35" s="190">
        <v>8887.5</v>
      </c>
      <c r="N35" s="19">
        <v>1</v>
      </c>
      <c r="O35" s="57">
        <f t="shared" si="217"/>
        <v>8887.5</v>
      </c>
      <c r="P35" s="20">
        <v>0</v>
      </c>
      <c r="Q35" s="176">
        <f t="shared" si="218"/>
        <v>8887.5</v>
      </c>
      <c r="R35" s="190">
        <v>10875</v>
      </c>
      <c r="S35" s="19">
        <v>1</v>
      </c>
      <c r="T35" s="57">
        <f t="shared" si="219"/>
        <v>10875</v>
      </c>
      <c r="U35" s="20">
        <v>0</v>
      </c>
      <c r="V35" s="95">
        <f t="shared" si="220"/>
        <v>10875</v>
      </c>
      <c r="W35" s="175">
        <v>10046.25</v>
      </c>
      <c r="X35" s="19">
        <v>0</v>
      </c>
      <c r="Y35" s="57">
        <f t="shared" si="221"/>
        <v>0</v>
      </c>
      <c r="Z35" s="20">
        <v>0</v>
      </c>
      <c r="AA35" s="176">
        <f t="shared" si="222"/>
        <v>0</v>
      </c>
      <c r="AB35" s="175">
        <v>10046.25</v>
      </c>
      <c r="AC35" s="19">
        <v>0</v>
      </c>
      <c r="AD35" s="57">
        <f t="shared" si="223"/>
        <v>0</v>
      </c>
      <c r="AE35" s="20">
        <v>0</v>
      </c>
      <c r="AF35" s="95">
        <f t="shared" si="224"/>
        <v>0</v>
      </c>
      <c r="AG35" s="120"/>
      <c r="AH35" s="19"/>
      <c r="AI35" s="57">
        <f t="shared" si="225"/>
        <v>0</v>
      </c>
      <c r="AJ35" s="20"/>
      <c r="AK35" s="95">
        <f t="shared" si="226"/>
        <v>0</v>
      </c>
      <c r="AL35" s="91"/>
      <c r="AM35" s="19"/>
      <c r="AN35" s="57">
        <f t="shared" si="227"/>
        <v>0</v>
      </c>
      <c r="AO35" s="20"/>
      <c r="AP35" s="100">
        <f t="shared" si="228"/>
        <v>0</v>
      </c>
      <c r="AQ35" s="175"/>
      <c r="AR35" s="19"/>
      <c r="AS35" s="57">
        <f t="shared" si="229"/>
        <v>0</v>
      </c>
      <c r="AT35" s="20"/>
      <c r="AU35" s="176">
        <f t="shared" si="230"/>
        <v>0</v>
      </c>
      <c r="AV35" s="175"/>
      <c r="AW35" s="19"/>
      <c r="AX35" s="57">
        <f t="shared" si="231"/>
        <v>0</v>
      </c>
      <c r="AY35" s="20"/>
      <c r="AZ35" s="100">
        <f t="shared" si="232"/>
        <v>0</v>
      </c>
      <c r="BA35" s="175"/>
      <c r="BB35" s="19"/>
      <c r="BC35" s="57">
        <f t="shared" si="233"/>
        <v>0</v>
      </c>
      <c r="BD35" s="20"/>
      <c r="BE35" s="176">
        <f t="shared" si="234"/>
        <v>0</v>
      </c>
      <c r="BF35" s="175"/>
      <c r="BG35" s="19"/>
      <c r="BH35" s="57">
        <f t="shared" si="235"/>
        <v>0</v>
      </c>
      <c r="BI35" s="20"/>
      <c r="BJ35" s="100">
        <f t="shared" si="236"/>
        <v>0</v>
      </c>
      <c r="BK35" s="91"/>
      <c r="BL35" s="19"/>
      <c r="BM35" s="57">
        <f t="shared" si="237"/>
        <v>0</v>
      </c>
      <c r="BN35" s="20"/>
      <c r="BO35" s="100">
        <f t="shared" si="238"/>
        <v>0</v>
      </c>
      <c r="BP35" s="175"/>
      <c r="BQ35" s="19"/>
      <c r="BR35" s="57">
        <f t="shared" si="239"/>
        <v>0</v>
      </c>
      <c r="BS35" s="20"/>
      <c r="BT35" s="100">
        <f t="shared" si="240"/>
        <v>0</v>
      </c>
      <c r="BU35" s="55"/>
      <c r="BV35" s="107">
        <f t="shared" si="271"/>
        <v>8887.5</v>
      </c>
      <c r="BW35" s="91"/>
      <c r="BX35" s="19"/>
      <c r="BY35" s="57">
        <f t="shared" si="241"/>
        <v>0</v>
      </c>
      <c r="BZ35" s="20"/>
      <c r="CA35" s="95">
        <f t="shared" si="242"/>
        <v>0</v>
      </c>
      <c r="CB35" s="91"/>
      <c r="CC35" s="19"/>
      <c r="CD35" s="57">
        <f t="shared" si="243"/>
        <v>0</v>
      </c>
      <c r="CE35" s="20"/>
      <c r="CF35" s="95">
        <f t="shared" si="244"/>
        <v>0</v>
      </c>
      <c r="CG35" s="91"/>
      <c r="CH35" s="19"/>
      <c r="CI35" s="57">
        <f t="shared" si="245"/>
        <v>0</v>
      </c>
      <c r="CJ35" s="20"/>
      <c r="CK35" s="95">
        <f t="shared" si="246"/>
        <v>0</v>
      </c>
      <c r="CL35" s="193">
        <v>8887.5</v>
      </c>
      <c r="CM35" s="189">
        <v>1</v>
      </c>
      <c r="CN35" s="57">
        <f t="shared" si="247"/>
        <v>8887.5</v>
      </c>
      <c r="CO35" s="20"/>
      <c r="CP35" s="95">
        <f t="shared" si="248"/>
        <v>8887.5</v>
      </c>
      <c r="CQ35" s="91"/>
      <c r="CR35" s="19"/>
      <c r="CS35" s="57">
        <f t="shared" si="249"/>
        <v>0</v>
      </c>
      <c r="CT35" s="20"/>
      <c r="CU35" s="95">
        <f t="shared" si="250"/>
        <v>0</v>
      </c>
      <c r="CV35" s="120"/>
      <c r="CW35" s="19"/>
      <c r="CX35" s="57">
        <f t="shared" si="251"/>
        <v>0</v>
      </c>
      <c r="CY35" s="20"/>
      <c r="CZ35" s="95">
        <f t="shared" si="252"/>
        <v>0</v>
      </c>
      <c r="DA35" s="120"/>
      <c r="DB35" s="19"/>
      <c r="DC35" s="57">
        <f t="shared" si="253"/>
        <v>0</v>
      </c>
      <c r="DD35" s="20"/>
      <c r="DE35" s="95">
        <f t="shared" si="254"/>
        <v>0</v>
      </c>
      <c r="DF35" s="91"/>
      <c r="DG35" s="19"/>
      <c r="DH35" s="57">
        <f t="shared" si="255"/>
        <v>0</v>
      </c>
      <c r="DI35" s="20"/>
      <c r="DJ35" s="100">
        <f t="shared" si="256"/>
        <v>0</v>
      </c>
      <c r="DK35" s="91"/>
      <c r="DL35" s="19"/>
      <c r="DM35" s="57">
        <f t="shared" si="257"/>
        <v>0</v>
      </c>
      <c r="DN35" s="20"/>
      <c r="DO35" s="100">
        <f t="shared" si="258"/>
        <v>0</v>
      </c>
      <c r="DP35" s="91"/>
      <c r="DQ35" s="19"/>
      <c r="DR35" s="57">
        <f t="shared" si="259"/>
        <v>0</v>
      </c>
      <c r="DS35" s="20"/>
      <c r="DT35" s="100">
        <f t="shared" si="260"/>
        <v>0</v>
      </c>
      <c r="DU35" s="91"/>
      <c r="DV35" s="19"/>
      <c r="DW35" s="57">
        <f t="shared" si="261"/>
        <v>0</v>
      </c>
      <c r="DX35" s="20"/>
      <c r="DY35" s="100">
        <f t="shared" si="262"/>
        <v>0</v>
      </c>
      <c r="DZ35" s="91"/>
      <c r="EA35" s="19"/>
      <c r="EB35" s="57">
        <f t="shared" si="263"/>
        <v>0</v>
      </c>
      <c r="EC35" s="20"/>
      <c r="ED35" s="100">
        <f t="shared" si="264"/>
        <v>0</v>
      </c>
      <c r="EE35" s="91"/>
      <c r="EF35" s="19"/>
      <c r="EG35" s="57">
        <f t="shared" si="265"/>
        <v>0</v>
      </c>
      <c r="EH35" s="20"/>
      <c r="EI35" s="100">
        <f t="shared" si="266"/>
        <v>0</v>
      </c>
      <c r="EJ35" s="91"/>
      <c r="EK35" s="19"/>
      <c r="EL35" s="57">
        <f t="shared" si="267"/>
        <v>0</v>
      </c>
      <c r="EM35" s="20"/>
      <c r="EN35" s="100">
        <f t="shared" si="268"/>
        <v>0</v>
      </c>
      <c r="EO35" s="91"/>
      <c r="EP35" s="19"/>
      <c r="EQ35" s="57">
        <f t="shared" si="269"/>
        <v>0</v>
      </c>
      <c r="ER35" s="20"/>
      <c r="ES35" s="100">
        <f t="shared" si="270"/>
        <v>0</v>
      </c>
      <c r="ET35" s="55"/>
      <c r="EU35" s="55"/>
    </row>
    <row r="36" spans="1:151" x14ac:dyDescent="0.25">
      <c r="A36" s="177" t="s">
        <v>120</v>
      </c>
      <c r="B36" s="107">
        <f t="shared" si="212"/>
        <v>76125</v>
      </c>
      <c r="C36" s="91"/>
      <c r="D36" s="19"/>
      <c r="E36" s="57">
        <f t="shared" si="213"/>
        <v>0</v>
      </c>
      <c r="F36" s="20"/>
      <c r="G36" s="95">
        <f t="shared" si="214"/>
        <v>0</v>
      </c>
      <c r="H36" s="120"/>
      <c r="I36" s="19"/>
      <c r="J36" s="57">
        <f t="shared" si="215"/>
        <v>0</v>
      </c>
      <c r="K36" s="20"/>
      <c r="L36" s="95">
        <f t="shared" si="216"/>
        <v>0</v>
      </c>
      <c r="M36" s="175"/>
      <c r="N36" s="19"/>
      <c r="O36" s="57">
        <f t="shared" si="217"/>
        <v>0</v>
      </c>
      <c r="P36" s="20"/>
      <c r="Q36" s="176">
        <f t="shared" si="218"/>
        <v>0</v>
      </c>
      <c r="R36" s="175"/>
      <c r="S36" s="19"/>
      <c r="T36" s="57">
        <f t="shared" si="219"/>
        <v>0</v>
      </c>
      <c r="U36" s="20"/>
      <c r="V36" s="95">
        <f t="shared" si="220"/>
        <v>0</v>
      </c>
      <c r="W36" s="175"/>
      <c r="X36" s="19"/>
      <c r="Y36" s="57">
        <f t="shared" si="221"/>
        <v>0</v>
      </c>
      <c r="Z36" s="20"/>
      <c r="AA36" s="176">
        <f t="shared" si="222"/>
        <v>0</v>
      </c>
      <c r="AB36" s="175"/>
      <c r="AC36" s="19"/>
      <c r="AD36" s="57">
        <f t="shared" si="223"/>
        <v>0</v>
      </c>
      <c r="AE36" s="20"/>
      <c r="AF36" s="95">
        <f t="shared" si="224"/>
        <v>0</v>
      </c>
      <c r="AG36" s="190">
        <v>10875</v>
      </c>
      <c r="AH36" s="19">
        <v>2</v>
      </c>
      <c r="AI36" s="57">
        <f t="shared" si="225"/>
        <v>21750</v>
      </c>
      <c r="AJ36" s="20">
        <v>0</v>
      </c>
      <c r="AK36" s="176">
        <f t="shared" si="226"/>
        <v>21750</v>
      </c>
      <c r="AL36" s="190">
        <v>10875</v>
      </c>
      <c r="AM36" s="19">
        <v>2</v>
      </c>
      <c r="AN36" s="57">
        <f t="shared" si="227"/>
        <v>21750</v>
      </c>
      <c r="AO36" s="20">
        <v>0</v>
      </c>
      <c r="AP36" s="100">
        <f t="shared" si="228"/>
        <v>21750</v>
      </c>
      <c r="AQ36" s="190">
        <v>10875</v>
      </c>
      <c r="AR36" s="189">
        <v>1</v>
      </c>
      <c r="AS36" s="57">
        <f t="shared" si="229"/>
        <v>10875</v>
      </c>
      <c r="AT36" s="20">
        <v>0</v>
      </c>
      <c r="AU36" s="176">
        <f t="shared" si="230"/>
        <v>10875</v>
      </c>
      <c r="AV36" s="190">
        <v>10875</v>
      </c>
      <c r="AW36" s="189">
        <v>1</v>
      </c>
      <c r="AX36" s="57">
        <f t="shared" si="231"/>
        <v>10875</v>
      </c>
      <c r="AY36" s="20">
        <v>0</v>
      </c>
      <c r="AZ36" s="100">
        <f t="shared" si="232"/>
        <v>10875</v>
      </c>
      <c r="BA36" s="190">
        <v>10875</v>
      </c>
      <c r="BB36" s="189">
        <v>1</v>
      </c>
      <c r="BC36" s="57">
        <f t="shared" si="233"/>
        <v>10875</v>
      </c>
      <c r="BD36" s="20">
        <v>0</v>
      </c>
      <c r="BE36" s="176">
        <f t="shared" si="234"/>
        <v>10875</v>
      </c>
      <c r="BF36" s="175"/>
      <c r="BG36" s="19"/>
      <c r="BH36" s="57">
        <f t="shared" si="235"/>
        <v>0</v>
      </c>
      <c r="BI36" s="20"/>
      <c r="BJ36" s="100">
        <f t="shared" si="236"/>
        <v>0</v>
      </c>
      <c r="BK36" s="175">
        <v>12916.25</v>
      </c>
      <c r="BL36" s="189">
        <v>0</v>
      </c>
      <c r="BM36" s="57">
        <f t="shared" si="237"/>
        <v>0</v>
      </c>
      <c r="BN36" s="20">
        <v>0</v>
      </c>
      <c r="BO36" s="100">
        <f t="shared" si="238"/>
        <v>0</v>
      </c>
      <c r="BP36" s="175"/>
      <c r="BQ36" s="19"/>
      <c r="BR36" s="57">
        <f t="shared" si="239"/>
        <v>0</v>
      </c>
      <c r="BS36" s="20"/>
      <c r="BT36" s="100">
        <f t="shared" si="240"/>
        <v>0</v>
      </c>
      <c r="BU36" s="55"/>
      <c r="BV36" s="107">
        <f t="shared" si="271"/>
        <v>0</v>
      </c>
      <c r="BW36" s="91"/>
      <c r="BX36" s="19"/>
      <c r="BY36" s="57">
        <f t="shared" si="241"/>
        <v>0</v>
      </c>
      <c r="BZ36" s="20"/>
      <c r="CA36" s="95">
        <f t="shared" si="242"/>
        <v>0</v>
      </c>
      <c r="CB36" s="91"/>
      <c r="CC36" s="19"/>
      <c r="CD36" s="57">
        <f t="shared" si="243"/>
        <v>0</v>
      </c>
      <c r="CE36" s="20"/>
      <c r="CF36" s="95">
        <f t="shared" si="244"/>
        <v>0</v>
      </c>
      <c r="CG36" s="91"/>
      <c r="CH36" s="19"/>
      <c r="CI36" s="57">
        <f t="shared" si="245"/>
        <v>0</v>
      </c>
      <c r="CJ36" s="20"/>
      <c r="CK36" s="95">
        <f t="shared" si="246"/>
        <v>0</v>
      </c>
      <c r="CL36" s="91"/>
      <c r="CM36" s="19"/>
      <c r="CN36" s="57">
        <f t="shared" si="247"/>
        <v>0</v>
      </c>
      <c r="CO36" s="20"/>
      <c r="CP36" s="95">
        <f t="shared" si="248"/>
        <v>0</v>
      </c>
      <c r="CQ36" s="91"/>
      <c r="CR36" s="19"/>
      <c r="CS36" s="57">
        <f t="shared" si="249"/>
        <v>0</v>
      </c>
      <c r="CT36" s="20"/>
      <c r="CU36" s="95">
        <f t="shared" si="250"/>
        <v>0</v>
      </c>
      <c r="CV36" s="120"/>
      <c r="CW36" s="19"/>
      <c r="CX36" s="57">
        <f t="shared" si="251"/>
        <v>0</v>
      </c>
      <c r="CY36" s="20"/>
      <c r="CZ36" s="95">
        <f t="shared" si="252"/>
        <v>0</v>
      </c>
      <c r="DA36" s="120"/>
      <c r="DB36" s="19"/>
      <c r="DC36" s="57">
        <f t="shared" si="253"/>
        <v>0</v>
      </c>
      <c r="DD36" s="20"/>
      <c r="DE36" s="95">
        <f t="shared" si="254"/>
        <v>0</v>
      </c>
      <c r="DF36" s="91"/>
      <c r="DG36" s="19"/>
      <c r="DH36" s="57">
        <f t="shared" si="255"/>
        <v>0</v>
      </c>
      <c r="DI36" s="20"/>
      <c r="DJ36" s="100">
        <f t="shared" si="256"/>
        <v>0</v>
      </c>
      <c r="DK36" s="91"/>
      <c r="DL36" s="19"/>
      <c r="DM36" s="57">
        <f t="shared" si="257"/>
        <v>0</v>
      </c>
      <c r="DN36" s="20"/>
      <c r="DO36" s="100">
        <f t="shared" si="258"/>
        <v>0</v>
      </c>
      <c r="DP36" s="91"/>
      <c r="DQ36" s="19"/>
      <c r="DR36" s="57">
        <f t="shared" si="259"/>
        <v>0</v>
      </c>
      <c r="DS36" s="20"/>
      <c r="DT36" s="100">
        <f t="shared" si="260"/>
        <v>0</v>
      </c>
      <c r="DU36" s="91"/>
      <c r="DV36" s="19"/>
      <c r="DW36" s="57">
        <f t="shared" si="261"/>
        <v>0</v>
      </c>
      <c r="DX36" s="20"/>
      <c r="DY36" s="100">
        <f t="shared" si="262"/>
        <v>0</v>
      </c>
      <c r="DZ36" s="91"/>
      <c r="EA36" s="19"/>
      <c r="EB36" s="57">
        <f t="shared" si="263"/>
        <v>0</v>
      </c>
      <c r="EC36" s="20"/>
      <c r="ED36" s="100">
        <f t="shared" si="264"/>
        <v>0</v>
      </c>
      <c r="EE36" s="91"/>
      <c r="EF36" s="19"/>
      <c r="EG36" s="57">
        <f t="shared" si="265"/>
        <v>0</v>
      </c>
      <c r="EH36" s="20"/>
      <c r="EI36" s="100">
        <f t="shared" si="266"/>
        <v>0</v>
      </c>
      <c r="EJ36" s="91"/>
      <c r="EK36" s="19"/>
      <c r="EL36" s="57">
        <f t="shared" si="267"/>
        <v>0</v>
      </c>
      <c r="EM36" s="20"/>
      <c r="EN36" s="100">
        <f t="shared" si="268"/>
        <v>0</v>
      </c>
      <c r="EO36" s="91"/>
      <c r="EP36" s="19"/>
      <c r="EQ36" s="57">
        <f t="shared" si="269"/>
        <v>0</v>
      </c>
      <c r="ER36" s="20"/>
      <c r="ES36" s="100">
        <f t="shared" si="270"/>
        <v>0</v>
      </c>
      <c r="ET36" s="55"/>
      <c r="EU36" s="55"/>
    </row>
    <row r="37" spans="1:151" x14ac:dyDescent="0.25">
      <c r="A37" s="177" t="s">
        <v>121</v>
      </c>
      <c r="B37" s="107">
        <f t="shared" ref="B37:B47" si="272">G37+L37+Q37+V37+AA37+AF37+AK37+AP37+AU37+AZ37+BE37+BJ37+BO37+BT37</f>
        <v>3797.5</v>
      </c>
      <c r="C37" s="91"/>
      <c r="D37" s="19"/>
      <c r="E37" s="57">
        <f t="shared" ref="E37:E47" si="273">SUM(C37*D37)</f>
        <v>0</v>
      </c>
      <c r="F37" s="20"/>
      <c r="G37" s="95">
        <f t="shared" ref="G37:G47" si="274">E37-E37*F37</f>
        <v>0</v>
      </c>
      <c r="H37" s="120"/>
      <c r="I37" s="19"/>
      <c r="J37" s="57">
        <f t="shared" ref="J37:J47" si="275">SUM(H37*I37)</f>
        <v>0</v>
      </c>
      <c r="K37" s="20"/>
      <c r="L37" s="95">
        <f t="shared" ref="L37:L47" si="276">J37-J37*K37</f>
        <v>0</v>
      </c>
      <c r="M37" s="175">
        <v>1898.75</v>
      </c>
      <c r="N37" s="19">
        <v>1</v>
      </c>
      <c r="O37" s="57">
        <f t="shared" si="217"/>
        <v>1898.75</v>
      </c>
      <c r="P37" s="20">
        <v>0</v>
      </c>
      <c r="Q37" s="176">
        <f t="shared" si="218"/>
        <v>1898.75</v>
      </c>
      <c r="R37" s="175">
        <v>1898.75</v>
      </c>
      <c r="S37" s="189">
        <v>0</v>
      </c>
      <c r="T37" s="57">
        <f t="shared" si="219"/>
        <v>0</v>
      </c>
      <c r="U37" s="20">
        <v>0</v>
      </c>
      <c r="V37" s="95">
        <f t="shared" ref="V37:V47" si="277">T37-T37*U37</f>
        <v>0</v>
      </c>
      <c r="W37" s="175"/>
      <c r="X37" s="19"/>
      <c r="Y37" s="57">
        <f t="shared" si="221"/>
        <v>0</v>
      </c>
      <c r="Z37" s="20"/>
      <c r="AA37" s="176">
        <f t="shared" si="222"/>
        <v>0</v>
      </c>
      <c r="AB37" s="175"/>
      <c r="AC37" s="19"/>
      <c r="AD37" s="57">
        <f t="shared" si="223"/>
        <v>0</v>
      </c>
      <c r="AE37" s="20"/>
      <c r="AF37" s="95">
        <f t="shared" ref="AF37:AF47" si="278">AD37-AD37*AE37</f>
        <v>0</v>
      </c>
      <c r="AG37" s="175"/>
      <c r="AH37" s="19"/>
      <c r="AI37" s="57">
        <f t="shared" si="225"/>
        <v>0</v>
      </c>
      <c r="AJ37" s="20"/>
      <c r="AK37" s="176">
        <f t="shared" si="226"/>
        <v>0</v>
      </c>
      <c r="AL37" s="175"/>
      <c r="AM37" s="19"/>
      <c r="AN37" s="57">
        <f t="shared" si="227"/>
        <v>0</v>
      </c>
      <c r="AO37" s="20"/>
      <c r="AP37" s="100">
        <f t="shared" ref="AP37:AP47" si="279">AN37-AN37*AO37</f>
        <v>0</v>
      </c>
      <c r="AQ37" s="175"/>
      <c r="AR37" s="19"/>
      <c r="AS37" s="57">
        <f t="shared" si="229"/>
        <v>0</v>
      </c>
      <c r="AT37" s="20"/>
      <c r="AU37" s="176">
        <f t="shared" si="230"/>
        <v>0</v>
      </c>
      <c r="AV37" s="175"/>
      <c r="AW37" s="19"/>
      <c r="AX37" s="57">
        <f t="shared" si="231"/>
        <v>0</v>
      </c>
      <c r="AY37" s="20"/>
      <c r="AZ37" s="100">
        <f t="shared" ref="AZ37:AZ47" si="280">AX37-AX37*AY37</f>
        <v>0</v>
      </c>
      <c r="BA37" s="175"/>
      <c r="BB37" s="19"/>
      <c r="BC37" s="57">
        <f t="shared" si="233"/>
        <v>0</v>
      </c>
      <c r="BD37" s="20"/>
      <c r="BE37" s="176">
        <f t="shared" si="234"/>
        <v>0</v>
      </c>
      <c r="BF37" s="175">
        <v>1898.75</v>
      </c>
      <c r="BG37" s="19">
        <v>1</v>
      </c>
      <c r="BH37" s="57">
        <f t="shared" si="235"/>
        <v>1898.75</v>
      </c>
      <c r="BI37" s="20">
        <v>0</v>
      </c>
      <c r="BJ37" s="100">
        <f t="shared" ref="BJ37:BJ47" si="281">BH37-BH37*BI37</f>
        <v>1898.75</v>
      </c>
      <c r="BK37" s="175"/>
      <c r="BL37" s="19"/>
      <c r="BM37" s="57">
        <f t="shared" si="237"/>
        <v>0</v>
      </c>
      <c r="BN37" s="20"/>
      <c r="BO37" s="100">
        <f t="shared" ref="BO37:BO47" si="282">BM37-BM37*BN37</f>
        <v>0</v>
      </c>
      <c r="BP37" s="175"/>
      <c r="BQ37" s="19"/>
      <c r="BR37" s="57">
        <f t="shared" si="239"/>
        <v>0</v>
      </c>
      <c r="BS37" s="20"/>
      <c r="BT37" s="100">
        <f t="shared" ref="BT37:BT47" si="283">BR37-BR37*BS37</f>
        <v>0</v>
      </c>
      <c r="BU37" s="55"/>
      <c r="BV37" s="107">
        <f t="shared" ref="BV37:BV47" si="284">CA37+CF37+CK37+CP37+CU37+CZ37+DE37+DJ37+DO37+DT37+DY37+ED37+EI37+EN37+ES37</f>
        <v>7595</v>
      </c>
      <c r="BW37" s="190">
        <v>1898.75</v>
      </c>
      <c r="BX37" s="189">
        <v>1</v>
      </c>
      <c r="BY37" s="57">
        <f t="shared" ref="BY37:BY47" si="285">SUM(BW37*BX37)</f>
        <v>1898.75</v>
      </c>
      <c r="BZ37" s="20">
        <v>0</v>
      </c>
      <c r="CA37" s="95">
        <f t="shared" ref="CA37:CA47" si="286">BY37-BY37*BZ37</f>
        <v>1898.75</v>
      </c>
      <c r="CB37" s="190">
        <v>1898.75</v>
      </c>
      <c r="CC37" s="189">
        <v>1</v>
      </c>
      <c r="CD37" s="57">
        <f t="shared" si="243"/>
        <v>1898.75</v>
      </c>
      <c r="CE37" s="20">
        <v>0</v>
      </c>
      <c r="CF37" s="95">
        <f t="shared" ref="CF37:CF47" si="287">CD37-CD37*CE37</f>
        <v>1898.75</v>
      </c>
      <c r="CG37" s="190">
        <v>1898.75</v>
      </c>
      <c r="CH37" s="189">
        <v>1</v>
      </c>
      <c r="CI37" s="57">
        <f t="shared" si="245"/>
        <v>1898.75</v>
      </c>
      <c r="CJ37" s="20">
        <v>0</v>
      </c>
      <c r="CK37" s="95">
        <f t="shared" ref="CK37:CK47" si="288">CI37-CI37*CJ37</f>
        <v>1898.75</v>
      </c>
      <c r="CL37" s="190">
        <v>1898.75</v>
      </c>
      <c r="CM37" s="189">
        <v>1</v>
      </c>
      <c r="CN37" s="57">
        <f t="shared" si="247"/>
        <v>1898.75</v>
      </c>
      <c r="CO37" s="20">
        <v>0</v>
      </c>
      <c r="CP37" s="95">
        <f t="shared" ref="CP37:CP47" si="289">CN37-CN37*CO37</f>
        <v>1898.75</v>
      </c>
      <c r="CQ37" s="91"/>
      <c r="CR37" s="19"/>
      <c r="CS37" s="57">
        <f t="shared" si="249"/>
        <v>0</v>
      </c>
      <c r="CT37" s="20">
        <v>0</v>
      </c>
      <c r="CU37" s="95">
        <f t="shared" ref="CU37:CU47" si="290">CS37-CS37*CT37</f>
        <v>0</v>
      </c>
      <c r="CV37" s="120"/>
      <c r="CW37" s="19"/>
      <c r="CX37" s="57">
        <f t="shared" ref="CX37:CX47" si="291">SUM(CV37*CW37)</f>
        <v>0</v>
      </c>
      <c r="CY37" s="20"/>
      <c r="CZ37" s="95">
        <f t="shared" ref="CZ37:CZ47" si="292">CX37-CX37*CY37</f>
        <v>0</v>
      </c>
      <c r="DA37" s="120"/>
      <c r="DB37" s="19"/>
      <c r="DC37" s="57">
        <f t="shared" ref="DC37:DC47" si="293">SUM(DA37*DB37)</f>
        <v>0</v>
      </c>
      <c r="DD37" s="20"/>
      <c r="DE37" s="95">
        <f t="shared" ref="DE37:DE47" si="294">DC37-DC37*DD37</f>
        <v>0</v>
      </c>
      <c r="DF37" s="91"/>
      <c r="DG37" s="19"/>
      <c r="DH37" s="57">
        <f t="shared" ref="DH37:DH47" si="295">SUM(DF37*DG37)</f>
        <v>0</v>
      </c>
      <c r="DI37" s="20"/>
      <c r="DJ37" s="100">
        <f t="shared" ref="DJ37:DJ47" si="296">DH37-DH37*DI37</f>
        <v>0</v>
      </c>
      <c r="DK37" s="91"/>
      <c r="DL37" s="19"/>
      <c r="DM37" s="57">
        <f t="shared" ref="DM37:DM47" si="297">SUM(DK37*DL37)</f>
        <v>0</v>
      </c>
      <c r="DN37" s="20"/>
      <c r="DO37" s="100">
        <f t="shared" ref="DO37:DO47" si="298">DM37-DM37*DN37</f>
        <v>0</v>
      </c>
      <c r="DP37" s="91"/>
      <c r="DQ37" s="19"/>
      <c r="DR37" s="57">
        <f t="shared" ref="DR37:DR47" si="299">SUM(DP37*DQ37)</f>
        <v>0</v>
      </c>
      <c r="DS37" s="20"/>
      <c r="DT37" s="100">
        <f t="shared" ref="DT37:DT47" si="300">DR37-DR37*DS37</f>
        <v>0</v>
      </c>
      <c r="DU37" s="91"/>
      <c r="DV37" s="19"/>
      <c r="DW37" s="57">
        <f t="shared" ref="DW37:DW47" si="301">SUM(DU37*DV37)</f>
        <v>0</v>
      </c>
      <c r="DX37" s="20"/>
      <c r="DY37" s="100">
        <f t="shared" ref="DY37:DY47" si="302">DW37-DW37*DX37</f>
        <v>0</v>
      </c>
      <c r="DZ37" s="91"/>
      <c r="EA37" s="19"/>
      <c r="EB37" s="57">
        <f t="shared" ref="EB37:EB47" si="303">SUM(DZ37*EA37)</f>
        <v>0</v>
      </c>
      <c r="EC37" s="20"/>
      <c r="ED37" s="100">
        <f t="shared" ref="ED37:ED47" si="304">EB37-EB37*EC37</f>
        <v>0</v>
      </c>
      <c r="EE37" s="91"/>
      <c r="EF37" s="19"/>
      <c r="EG37" s="57">
        <f t="shared" ref="EG37:EG47" si="305">SUM(EE37*EF37)</f>
        <v>0</v>
      </c>
      <c r="EH37" s="20"/>
      <c r="EI37" s="100">
        <f t="shared" ref="EI37:EI47" si="306">EG37-EG37*EH37</f>
        <v>0</v>
      </c>
      <c r="EJ37" s="91"/>
      <c r="EK37" s="19"/>
      <c r="EL37" s="57">
        <f t="shared" ref="EL37:EL47" si="307">SUM(EJ37*EK37)</f>
        <v>0</v>
      </c>
      <c r="EM37" s="20"/>
      <c r="EN37" s="100">
        <f t="shared" ref="EN37:EN47" si="308">EL37-EL37*EM37</f>
        <v>0</v>
      </c>
      <c r="EO37" s="91"/>
      <c r="EP37" s="19"/>
      <c r="EQ37" s="57">
        <f t="shared" ref="EQ37:EQ47" si="309">SUM(EO37*EP37)</f>
        <v>0</v>
      </c>
      <c r="ER37" s="20"/>
      <c r="ES37" s="100">
        <f t="shared" ref="ES37:ES47" si="310">EQ37-EQ37*ER37</f>
        <v>0</v>
      </c>
      <c r="ET37" s="55"/>
      <c r="EU37" s="55"/>
    </row>
    <row r="38" spans="1:151" x14ac:dyDescent="0.25">
      <c r="A38" s="177" t="s">
        <v>122</v>
      </c>
      <c r="B38" s="107">
        <f t="shared" si="272"/>
        <v>13935</v>
      </c>
      <c r="C38" s="91"/>
      <c r="D38" s="19"/>
      <c r="E38" s="57">
        <f t="shared" si="273"/>
        <v>0</v>
      </c>
      <c r="F38" s="20"/>
      <c r="G38" s="95">
        <f t="shared" si="274"/>
        <v>0</v>
      </c>
      <c r="H38" s="120"/>
      <c r="I38" s="19"/>
      <c r="J38" s="57">
        <f t="shared" si="275"/>
        <v>0</v>
      </c>
      <c r="K38" s="20"/>
      <c r="L38" s="95">
        <f t="shared" si="276"/>
        <v>0</v>
      </c>
      <c r="M38" s="175"/>
      <c r="N38" s="19"/>
      <c r="O38" s="57">
        <f t="shared" si="217"/>
        <v>0</v>
      </c>
      <c r="P38" s="20"/>
      <c r="Q38" s="176">
        <f t="shared" si="218"/>
        <v>0</v>
      </c>
      <c r="R38" s="190">
        <v>2322.5</v>
      </c>
      <c r="S38" s="189">
        <v>1</v>
      </c>
      <c r="T38" s="57">
        <f t="shared" si="219"/>
        <v>2322.5</v>
      </c>
      <c r="U38" s="20">
        <v>0</v>
      </c>
      <c r="V38" s="95">
        <f t="shared" si="277"/>
        <v>2322.5</v>
      </c>
      <c r="W38" s="175">
        <v>2322.5</v>
      </c>
      <c r="X38" s="19">
        <v>1</v>
      </c>
      <c r="Y38" s="57">
        <f t="shared" si="221"/>
        <v>2322.5</v>
      </c>
      <c r="Z38" s="20">
        <v>0</v>
      </c>
      <c r="AA38" s="176">
        <f t="shared" si="222"/>
        <v>2322.5</v>
      </c>
      <c r="AB38" s="175">
        <v>2322.5</v>
      </c>
      <c r="AC38" s="19">
        <v>1</v>
      </c>
      <c r="AD38" s="57">
        <f t="shared" si="223"/>
        <v>2322.5</v>
      </c>
      <c r="AE38" s="20">
        <v>0</v>
      </c>
      <c r="AF38" s="95">
        <f t="shared" si="278"/>
        <v>2322.5</v>
      </c>
      <c r="AG38" s="175"/>
      <c r="AH38" s="19"/>
      <c r="AI38" s="57">
        <f t="shared" si="225"/>
        <v>0</v>
      </c>
      <c r="AJ38" s="20"/>
      <c r="AK38" s="176">
        <f t="shared" si="226"/>
        <v>0</v>
      </c>
      <c r="AL38" s="175"/>
      <c r="AM38" s="19"/>
      <c r="AN38" s="57">
        <f t="shared" si="227"/>
        <v>0</v>
      </c>
      <c r="AO38" s="20"/>
      <c r="AP38" s="100">
        <f t="shared" si="279"/>
        <v>0</v>
      </c>
      <c r="AQ38" s="175">
        <v>2322.5</v>
      </c>
      <c r="AR38" s="19">
        <v>1</v>
      </c>
      <c r="AS38" s="57">
        <f t="shared" si="229"/>
        <v>2322.5</v>
      </c>
      <c r="AT38" s="20">
        <v>0</v>
      </c>
      <c r="AU38" s="176">
        <f t="shared" si="230"/>
        <v>2322.5</v>
      </c>
      <c r="AV38" s="175">
        <v>2322.5</v>
      </c>
      <c r="AW38" s="19">
        <v>1</v>
      </c>
      <c r="AX38" s="57">
        <f t="shared" si="231"/>
        <v>2322.5</v>
      </c>
      <c r="AY38" s="20">
        <v>0</v>
      </c>
      <c r="AZ38" s="100">
        <f t="shared" si="280"/>
        <v>2322.5</v>
      </c>
      <c r="BA38" s="175">
        <v>2322.5</v>
      </c>
      <c r="BB38" s="19">
        <v>1</v>
      </c>
      <c r="BC38" s="57">
        <f t="shared" si="233"/>
        <v>2322.5</v>
      </c>
      <c r="BD38" s="20">
        <v>0</v>
      </c>
      <c r="BE38" s="176">
        <f t="shared" si="234"/>
        <v>2322.5</v>
      </c>
      <c r="BF38" s="175"/>
      <c r="BG38" s="19"/>
      <c r="BH38" s="57">
        <f t="shared" si="235"/>
        <v>0</v>
      </c>
      <c r="BI38" s="20"/>
      <c r="BJ38" s="100">
        <f t="shared" si="281"/>
        <v>0</v>
      </c>
      <c r="BK38" s="175"/>
      <c r="BL38" s="19"/>
      <c r="BM38" s="57">
        <f t="shared" si="237"/>
        <v>0</v>
      </c>
      <c r="BN38" s="20"/>
      <c r="BO38" s="100">
        <f t="shared" si="282"/>
        <v>0</v>
      </c>
      <c r="BP38" s="175"/>
      <c r="BQ38" s="19"/>
      <c r="BR38" s="57">
        <f t="shared" si="239"/>
        <v>0</v>
      </c>
      <c r="BS38" s="20"/>
      <c r="BT38" s="100">
        <f t="shared" si="283"/>
        <v>0</v>
      </c>
      <c r="BU38" s="55"/>
      <c r="BV38" s="107">
        <f t="shared" si="284"/>
        <v>2322.5</v>
      </c>
      <c r="BW38" s="91"/>
      <c r="BX38" s="19"/>
      <c r="BY38" s="57">
        <f t="shared" si="285"/>
        <v>0</v>
      </c>
      <c r="BZ38" s="20"/>
      <c r="CA38" s="95">
        <f t="shared" si="286"/>
        <v>0</v>
      </c>
      <c r="CB38" s="91"/>
      <c r="CC38" s="19"/>
      <c r="CD38" s="57">
        <f t="shared" si="243"/>
        <v>0</v>
      </c>
      <c r="CE38" s="20"/>
      <c r="CF38" s="95">
        <f t="shared" si="287"/>
        <v>0</v>
      </c>
      <c r="CG38" s="91"/>
      <c r="CH38" s="19"/>
      <c r="CI38" s="57">
        <f t="shared" si="245"/>
        <v>0</v>
      </c>
      <c r="CJ38" s="20"/>
      <c r="CK38" s="95">
        <f t="shared" si="288"/>
        <v>0</v>
      </c>
      <c r="CL38" s="91"/>
      <c r="CM38" s="19"/>
      <c r="CN38" s="57">
        <f t="shared" si="247"/>
        <v>0</v>
      </c>
      <c r="CO38" s="20"/>
      <c r="CP38" s="95">
        <f t="shared" si="289"/>
        <v>0</v>
      </c>
      <c r="CQ38" s="190">
        <v>2322.5</v>
      </c>
      <c r="CR38" s="189">
        <v>1</v>
      </c>
      <c r="CS38" s="57">
        <f t="shared" si="249"/>
        <v>2322.5</v>
      </c>
      <c r="CT38" s="20">
        <v>0</v>
      </c>
      <c r="CU38" s="95">
        <f t="shared" si="290"/>
        <v>2322.5</v>
      </c>
      <c r="CV38" s="120"/>
      <c r="CW38" s="19"/>
      <c r="CX38" s="57">
        <f t="shared" si="291"/>
        <v>0</v>
      </c>
      <c r="CY38" s="20"/>
      <c r="CZ38" s="95">
        <f t="shared" si="292"/>
        <v>0</v>
      </c>
      <c r="DA38" s="120"/>
      <c r="DB38" s="19"/>
      <c r="DC38" s="57">
        <f t="shared" si="293"/>
        <v>0</v>
      </c>
      <c r="DD38" s="20"/>
      <c r="DE38" s="95">
        <f t="shared" si="294"/>
        <v>0</v>
      </c>
      <c r="DF38" s="91"/>
      <c r="DG38" s="19"/>
      <c r="DH38" s="57">
        <f t="shared" si="295"/>
        <v>0</v>
      </c>
      <c r="DI38" s="20"/>
      <c r="DJ38" s="100">
        <f t="shared" si="296"/>
        <v>0</v>
      </c>
      <c r="DK38" s="91"/>
      <c r="DL38" s="19"/>
      <c r="DM38" s="57">
        <f t="shared" si="297"/>
        <v>0</v>
      </c>
      <c r="DN38" s="20"/>
      <c r="DO38" s="100">
        <f t="shared" si="298"/>
        <v>0</v>
      </c>
      <c r="DP38" s="91"/>
      <c r="DQ38" s="19"/>
      <c r="DR38" s="57">
        <f t="shared" si="299"/>
        <v>0</v>
      </c>
      <c r="DS38" s="20"/>
      <c r="DT38" s="100">
        <f t="shared" si="300"/>
        <v>0</v>
      </c>
      <c r="DU38" s="91"/>
      <c r="DV38" s="19"/>
      <c r="DW38" s="57">
        <f t="shared" si="301"/>
        <v>0</v>
      </c>
      <c r="DX38" s="20"/>
      <c r="DY38" s="100">
        <f t="shared" si="302"/>
        <v>0</v>
      </c>
      <c r="DZ38" s="91"/>
      <c r="EA38" s="19"/>
      <c r="EB38" s="57">
        <f t="shared" si="303"/>
        <v>0</v>
      </c>
      <c r="EC38" s="20"/>
      <c r="ED38" s="100">
        <f t="shared" si="304"/>
        <v>0</v>
      </c>
      <c r="EE38" s="91"/>
      <c r="EF38" s="19"/>
      <c r="EG38" s="57">
        <f t="shared" si="305"/>
        <v>0</v>
      </c>
      <c r="EH38" s="20"/>
      <c r="EI38" s="100">
        <f t="shared" si="306"/>
        <v>0</v>
      </c>
      <c r="EJ38" s="91"/>
      <c r="EK38" s="19"/>
      <c r="EL38" s="57">
        <f t="shared" si="307"/>
        <v>0</v>
      </c>
      <c r="EM38" s="20"/>
      <c r="EN38" s="100">
        <f t="shared" si="308"/>
        <v>0</v>
      </c>
      <c r="EO38" s="91"/>
      <c r="EP38" s="19"/>
      <c r="EQ38" s="57">
        <f t="shared" si="309"/>
        <v>0</v>
      </c>
      <c r="ER38" s="20"/>
      <c r="ES38" s="100">
        <f t="shared" si="310"/>
        <v>0</v>
      </c>
      <c r="ET38" s="55"/>
      <c r="EU38" s="55"/>
    </row>
    <row r="39" spans="1:151" x14ac:dyDescent="0.25">
      <c r="A39" s="177" t="s">
        <v>123</v>
      </c>
      <c r="B39" s="107">
        <f t="shared" si="272"/>
        <v>18712.5</v>
      </c>
      <c r="C39" s="91"/>
      <c r="D39" s="19"/>
      <c r="E39" s="57">
        <f t="shared" si="273"/>
        <v>0</v>
      </c>
      <c r="F39" s="20"/>
      <c r="G39" s="95">
        <f t="shared" si="274"/>
        <v>0</v>
      </c>
      <c r="H39" s="120"/>
      <c r="I39" s="19"/>
      <c r="J39" s="57">
        <f t="shared" si="275"/>
        <v>0</v>
      </c>
      <c r="K39" s="20"/>
      <c r="L39" s="95">
        <f t="shared" si="276"/>
        <v>0</v>
      </c>
      <c r="M39" s="175">
        <v>1871.25</v>
      </c>
      <c r="N39" s="19">
        <v>1</v>
      </c>
      <c r="O39" s="57">
        <f t="shared" si="217"/>
        <v>1871.25</v>
      </c>
      <c r="P39" s="20">
        <v>0</v>
      </c>
      <c r="Q39" s="176">
        <f t="shared" si="218"/>
        <v>1871.25</v>
      </c>
      <c r="R39" s="175">
        <v>1871.25</v>
      </c>
      <c r="S39" s="19">
        <v>1</v>
      </c>
      <c r="T39" s="57">
        <f t="shared" si="219"/>
        <v>1871.25</v>
      </c>
      <c r="U39" s="20">
        <v>0</v>
      </c>
      <c r="V39" s="95">
        <f t="shared" si="277"/>
        <v>1871.25</v>
      </c>
      <c r="W39" s="175">
        <v>1871.25</v>
      </c>
      <c r="X39" s="19">
        <v>1</v>
      </c>
      <c r="Y39" s="57">
        <f t="shared" si="221"/>
        <v>1871.25</v>
      </c>
      <c r="Z39" s="20">
        <v>0</v>
      </c>
      <c r="AA39" s="176">
        <f t="shared" si="222"/>
        <v>1871.25</v>
      </c>
      <c r="AB39" s="175">
        <v>1871.25</v>
      </c>
      <c r="AC39" s="19">
        <v>1</v>
      </c>
      <c r="AD39" s="57">
        <f t="shared" si="223"/>
        <v>1871.25</v>
      </c>
      <c r="AE39" s="20">
        <v>0</v>
      </c>
      <c r="AF39" s="95">
        <f t="shared" si="278"/>
        <v>1871.25</v>
      </c>
      <c r="AG39" s="175">
        <v>1871.25</v>
      </c>
      <c r="AH39" s="19">
        <v>1</v>
      </c>
      <c r="AI39" s="57">
        <f t="shared" si="225"/>
        <v>1871.25</v>
      </c>
      <c r="AJ39" s="20">
        <v>0</v>
      </c>
      <c r="AK39" s="176">
        <f t="shared" si="226"/>
        <v>1871.25</v>
      </c>
      <c r="AL39" s="175">
        <v>1871.25</v>
      </c>
      <c r="AM39" s="19">
        <v>1</v>
      </c>
      <c r="AN39" s="57">
        <f t="shared" si="227"/>
        <v>1871.25</v>
      </c>
      <c r="AO39" s="20">
        <v>0</v>
      </c>
      <c r="AP39" s="100">
        <f t="shared" si="279"/>
        <v>1871.25</v>
      </c>
      <c r="AQ39" s="175">
        <v>1871.25</v>
      </c>
      <c r="AR39" s="19">
        <v>1</v>
      </c>
      <c r="AS39" s="57">
        <f t="shared" si="229"/>
        <v>1871.25</v>
      </c>
      <c r="AT39" s="20">
        <v>0</v>
      </c>
      <c r="AU39" s="176">
        <f t="shared" si="230"/>
        <v>1871.25</v>
      </c>
      <c r="AV39" s="175">
        <v>1871.25</v>
      </c>
      <c r="AW39" s="19">
        <v>1</v>
      </c>
      <c r="AX39" s="57">
        <f t="shared" si="231"/>
        <v>1871.25</v>
      </c>
      <c r="AY39" s="20">
        <v>0</v>
      </c>
      <c r="AZ39" s="100">
        <f t="shared" si="280"/>
        <v>1871.25</v>
      </c>
      <c r="BA39" s="175">
        <v>1871.25</v>
      </c>
      <c r="BB39" s="19">
        <v>1</v>
      </c>
      <c r="BC39" s="57">
        <f t="shared" si="233"/>
        <v>1871.25</v>
      </c>
      <c r="BD39" s="20">
        <v>0</v>
      </c>
      <c r="BE39" s="176">
        <f t="shared" si="234"/>
        <v>1871.25</v>
      </c>
      <c r="BF39" s="175">
        <v>1871.25</v>
      </c>
      <c r="BG39" s="19">
        <v>1</v>
      </c>
      <c r="BH39" s="57">
        <f t="shared" si="235"/>
        <v>1871.25</v>
      </c>
      <c r="BI39" s="20">
        <v>0</v>
      </c>
      <c r="BJ39" s="100">
        <f t="shared" si="281"/>
        <v>1871.25</v>
      </c>
      <c r="BK39" s="175">
        <v>1871.25</v>
      </c>
      <c r="BL39" s="189">
        <v>0</v>
      </c>
      <c r="BM39" s="57">
        <f t="shared" si="237"/>
        <v>0</v>
      </c>
      <c r="BN39" s="20">
        <v>0</v>
      </c>
      <c r="BO39" s="100">
        <f t="shared" si="282"/>
        <v>0</v>
      </c>
      <c r="BP39" s="175">
        <v>1871.25</v>
      </c>
      <c r="BQ39" s="189">
        <v>0</v>
      </c>
      <c r="BR39" s="57">
        <f t="shared" si="239"/>
        <v>0</v>
      </c>
      <c r="BS39" s="20">
        <v>0</v>
      </c>
      <c r="BT39" s="100">
        <f t="shared" si="283"/>
        <v>0</v>
      </c>
      <c r="BU39" s="55"/>
      <c r="BV39" s="107">
        <f t="shared" si="284"/>
        <v>9356.25</v>
      </c>
      <c r="BW39" s="190">
        <v>1871.25</v>
      </c>
      <c r="BX39" s="189">
        <v>1</v>
      </c>
      <c r="BY39" s="57">
        <f t="shared" si="285"/>
        <v>1871.25</v>
      </c>
      <c r="BZ39" s="20">
        <v>0</v>
      </c>
      <c r="CA39" s="95">
        <f t="shared" si="286"/>
        <v>1871.25</v>
      </c>
      <c r="CB39" s="190">
        <v>1871.25</v>
      </c>
      <c r="CC39" s="189">
        <v>1</v>
      </c>
      <c r="CD39" s="57">
        <f t="shared" si="243"/>
        <v>1871.25</v>
      </c>
      <c r="CE39" s="20">
        <v>0</v>
      </c>
      <c r="CF39" s="95">
        <f t="shared" si="287"/>
        <v>1871.25</v>
      </c>
      <c r="CG39" s="190">
        <v>1871.25</v>
      </c>
      <c r="CH39" s="189">
        <v>1</v>
      </c>
      <c r="CI39" s="57">
        <f t="shared" si="245"/>
        <v>1871.25</v>
      </c>
      <c r="CJ39" s="20">
        <v>0</v>
      </c>
      <c r="CK39" s="95">
        <f t="shared" si="288"/>
        <v>1871.25</v>
      </c>
      <c r="CL39" s="190">
        <v>1871.25</v>
      </c>
      <c r="CM39" s="189">
        <v>1</v>
      </c>
      <c r="CN39" s="57">
        <f t="shared" si="247"/>
        <v>1871.25</v>
      </c>
      <c r="CO39" s="20">
        <v>0</v>
      </c>
      <c r="CP39" s="95">
        <f t="shared" si="289"/>
        <v>1871.25</v>
      </c>
      <c r="CQ39" s="190">
        <v>1871.25</v>
      </c>
      <c r="CR39" s="189">
        <v>1</v>
      </c>
      <c r="CS39" s="57">
        <f t="shared" si="249"/>
        <v>1871.25</v>
      </c>
      <c r="CT39" s="20">
        <v>0</v>
      </c>
      <c r="CU39" s="95">
        <f t="shared" si="290"/>
        <v>1871.25</v>
      </c>
      <c r="CV39" s="120"/>
      <c r="CW39" s="19"/>
      <c r="CX39" s="57">
        <f t="shared" si="291"/>
        <v>0</v>
      </c>
      <c r="CY39" s="20"/>
      <c r="CZ39" s="95">
        <f t="shared" si="292"/>
        <v>0</v>
      </c>
      <c r="DA39" s="120"/>
      <c r="DB39" s="19"/>
      <c r="DC39" s="57">
        <f t="shared" si="293"/>
        <v>0</v>
      </c>
      <c r="DD39" s="20"/>
      <c r="DE39" s="95">
        <f t="shared" si="294"/>
        <v>0</v>
      </c>
      <c r="DF39" s="91"/>
      <c r="DG39" s="19"/>
      <c r="DH39" s="57">
        <f t="shared" si="295"/>
        <v>0</v>
      </c>
      <c r="DI39" s="20"/>
      <c r="DJ39" s="100">
        <f t="shared" si="296"/>
        <v>0</v>
      </c>
      <c r="DK39" s="91"/>
      <c r="DL39" s="19"/>
      <c r="DM39" s="57">
        <f t="shared" si="297"/>
        <v>0</v>
      </c>
      <c r="DN39" s="20"/>
      <c r="DO39" s="100">
        <f t="shared" si="298"/>
        <v>0</v>
      </c>
      <c r="DP39" s="91"/>
      <c r="DQ39" s="19"/>
      <c r="DR39" s="57">
        <f t="shared" si="299"/>
        <v>0</v>
      </c>
      <c r="DS39" s="20"/>
      <c r="DT39" s="100">
        <f t="shared" si="300"/>
        <v>0</v>
      </c>
      <c r="DU39" s="91"/>
      <c r="DV39" s="19"/>
      <c r="DW39" s="57">
        <f t="shared" si="301"/>
        <v>0</v>
      </c>
      <c r="DX39" s="20"/>
      <c r="DY39" s="100">
        <f t="shared" si="302"/>
        <v>0</v>
      </c>
      <c r="DZ39" s="91"/>
      <c r="EA39" s="19"/>
      <c r="EB39" s="57">
        <f t="shared" si="303"/>
        <v>0</v>
      </c>
      <c r="EC39" s="20"/>
      <c r="ED39" s="100">
        <f t="shared" si="304"/>
        <v>0</v>
      </c>
      <c r="EE39" s="91"/>
      <c r="EF39" s="19"/>
      <c r="EG39" s="57">
        <f t="shared" si="305"/>
        <v>0</v>
      </c>
      <c r="EH39" s="20"/>
      <c r="EI39" s="100">
        <f t="shared" si="306"/>
        <v>0</v>
      </c>
      <c r="EJ39" s="91"/>
      <c r="EK39" s="19"/>
      <c r="EL39" s="57">
        <f t="shared" si="307"/>
        <v>0</v>
      </c>
      <c r="EM39" s="20"/>
      <c r="EN39" s="100">
        <f t="shared" si="308"/>
        <v>0</v>
      </c>
      <c r="EO39" s="91"/>
      <c r="EP39" s="19"/>
      <c r="EQ39" s="57">
        <f t="shared" si="309"/>
        <v>0</v>
      </c>
      <c r="ER39" s="20"/>
      <c r="ES39" s="100">
        <f t="shared" si="310"/>
        <v>0</v>
      </c>
      <c r="ET39" s="55"/>
      <c r="EU39" s="55"/>
    </row>
    <row r="40" spans="1:151" x14ac:dyDescent="0.25">
      <c r="A40" s="177" t="s">
        <v>124</v>
      </c>
      <c r="B40" s="107">
        <f t="shared" si="272"/>
        <v>64293.074999999997</v>
      </c>
      <c r="C40" s="91"/>
      <c r="D40" s="19"/>
      <c r="E40" s="57">
        <f t="shared" si="273"/>
        <v>0</v>
      </c>
      <c r="F40" s="20"/>
      <c r="G40" s="95">
        <f t="shared" si="274"/>
        <v>0</v>
      </c>
      <c r="H40" s="120"/>
      <c r="I40" s="19"/>
      <c r="J40" s="57">
        <f t="shared" si="275"/>
        <v>0</v>
      </c>
      <c r="K40" s="20"/>
      <c r="L40" s="95">
        <f t="shared" si="276"/>
        <v>0</v>
      </c>
      <c r="M40" s="190">
        <v>7467</v>
      </c>
      <c r="N40" s="19">
        <v>1</v>
      </c>
      <c r="O40" s="57">
        <f t="shared" si="217"/>
        <v>7467</v>
      </c>
      <c r="P40" s="20">
        <v>0.1</v>
      </c>
      <c r="Q40" s="176">
        <f t="shared" si="218"/>
        <v>6720.3</v>
      </c>
      <c r="R40" s="190">
        <v>7467</v>
      </c>
      <c r="S40" s="19">
        <v>1</v>
      </c>
      <c r="T40" s="57">
        <f t="shared" si="219"/>
        <v>7467</v>
      </c>
      <c r="U40" s="20">
        <v>0.1</v>
      </c>
      <c r="V40" s="95">
        <f t="shared" si="277"/>
        <v>6720.3</v>
      </c>
      <c r="W40" s="190">
        <f>7916+3620</f>
        <v>11536</v>
      </c>
      <c r="X40" s="19">
        <v>1</v>
      </c>
      <c r="Y40" s="57">
        <f t="shared" si="221"/>
        <v>11536</v>
      </c>
      <c r="Z40" s="20">
        <v>0.1</v>
      </c>
      <c r="AA40" s="176">
        <f t="shared" si="222"/>
        <v>10382.4</v>
      </c>
      <c r="AB40" s="190">
        <f>7916+3620</f>
        <v>11536</v>
      </c>
      <c r="AC40" s="19">
        <v>1</v>
      </c>
      <c r="AD40" s="57">
        <f t="shared" si="223"/>
        <v>11536</v>
      </c>
      <c r="AE40" s="20">
        <v>0.1</v>
      </c>
      <c r="AF40" s="95">
        <f t="shared" si="278"/>
        <v>10382.4</v>
      </c>
      <c r="AG40" s="190">
        <v>3620</v>
      </c>
      <c r="AH40" s="19">
        <v>1</v>
      </c>
      <c r="AI40" s="57">
        <f t="shared" si="225"/>
        <v>3620</v>
      </c>
      <c r="AJ40" s="20">
        <v>0.1</v>
      </c>
      <c r="AK40" s="176">
        <f t="shared" si="226"/>
        <v>3258</v>
      </c>
      <c r="AL40" s="190">
        <v>3620</v>
      </c>
      <c r="AM40" s="19">
        <v>1</v>
      </c>
      <c r="AN40" s="57">
        <f t="shared" si="227"/>
        <v>3620</v>
      </c>
      <c r="AO40" s="20">
        <v>0.1</v>
      </c>
      <c r="AP40" s="100">
        <f t="shared" si="279"/>
        <v>3258</v>
      </c>
      <c r="AQ40" s="190">
        <v>7691.5</v>
      </c>
      <c r="AR40" s="19">
        <v>1</v>
      </c>
      <c r="AS40" s="57">
        <f t="shared" si="229"/>
        <v>7691.5</v>
      </c>
      <c r="AT40" s="20">
        <v>0.1</v>
      </c>
      <c r="AU40" s="176">
        <f t="shared" si="230"/>
        <v>6922.35</v>
      </c>
      <c r="AV40" s="190">
        <v>7691.5</v>
      </c>
      <c r="AW40" s="19">
        <v>1</v>
      </c>
      <c r="AX40" s="57">
        <f t="shared" si="231"/>
        <v>7691.5</v>
      </c>
      <c r="AY40" s="20">
        <v>0.1</v>
      </c>
      <c r="AZ40" s="100">
        <f t="shared" si="280"/>
        <v>6922.35</v>
      </c>
      <c r="BA40" s="190">
        <v>4632.5</v>
      </c>
      <c r="BB40" s="19">
        <v>1</v>
      </c>
      <c r="BC40" s="57">
        <f t="shared" si="233"/>
        <v>4632.5</v>
      </c>
      <c r="BD40" s="20">
        <v>0.1</v>
      </c>
      <c r="BE40" s="176">
        <f t="shared" si="234"/>
        <v>4169.25</v>
      </c>
      <c r="BF40" s="190">
        <v>4255.25</v>
      </c>
      <c r="BG40" s="19">
        <v>1</v>
      </c>
      <c r="BH40" s="57">
        <f t="shared" si="235"/>
        <v>4255.25</v>
      </c>
      <c r="BI40" s="20">
        <v>0.1</v>
      </c>
      <c r="BJ40" s="100">
        <f t="shared" si="281"/>
        <v>3829.7249999999999</v>
      </c>
      <c r="BK40" s="175">
        <v>13056.25</v>
      </c>
      <c r="BL40" s="189">
        <v>0</v>
      </c>
      <c r="BM40" s="57">
        <f t="shared" si="237"/>
        <v>0</v>
      </c>
      <c r="BN40" s="20">
        <v>0.1</v>
      </c>
      <c r="BO40" s="100">
        <f t="shared" si="282"/>
        <v>0</v>
      </c>
      <c r="BP40" s="190">
        <v>1920</v>
      </c>
      <c r="BQ40" s="19">
        <v>1</v>
      </c>
      <c r="BR40" s="57">
        <f t="shared" si="239"/>
        <v>1920</v>
      </c>
      <c r="BS40" s="20">
        <v>0.1</v>
      </c>
      <c r="BT40" s="100">
        <f t="shared" si="283"/>
        <v>1728</v>
      </c>
      <c r="BU40" s="55"/>
      <c r="BV40" s="107">
        <f t="shared" si="284"/>
        <v>25893</v>
      </c>
      <c r="BW40" s="193">
        <v>4693.25</v>
      </c>
      <c r="BX40" s="189">
        <v>1</v>
      </c>
      <c r="BY40" s="57">
        <f t="shared" si="285"/>
        <v>4693.25</v>
      </c>
      <c r="BZ40" s="20">
        <v>0.1</v>
      </c>
      <c r="CA40" s="95">
        <f t="shared" si="286"/>
        <v>4223.9250000000002</v>
      </c>
      <c r="CB40" s="193">
        <v>4693.25</v>
      </c>
      <c r="CC40" s="189">
        <v>1</v>
      </c>
      <c r="CD40" s="57">
        <f t="shared" si="243"/>
        <v>4693.25</v>
      </c>
      <c r="CE40" s="20">
        <v>0.1</v>
      </c>
      <c r="CF40" s="95">
        <f t="shared" si="287"/>
        <v>4223.9250000000002</v>
      </c>
      <c r="CG40" s="193">
        <v>4805.5</v>
      </c>
      <c r="CH40" s="189">
        <v>1</v>
      </c>
      <c r="CI40" s="57">
        <f t="shared" si="245"/>
        <v>4805.5</v>
      </c>
      <c r="CJ40" s="20">
        <v>0.1</v>
      </c>
      <c r="CK40" s="95">
        <f t="shared" si="288"/>
        <v>4324.95</v>
      </c>
      <c r="CL40" s="193">
        <v>5254.5</v>
      </c>
      <c r="CM40" s="189">
        <v>1</v>
      </c>
      <c r="CN40" s="57">
        <f t="shared" si="247"/>
        <v>5254.5</v>
      </c>
      <c r="CO40" s="20">
        <v>0.1</v>
      </c>
      <c r="CP40" s="95">
        <f t="shared" si="289"/>
        <v>4729.05</v>
      </c>
      <c r="CQ40" s="193">
        <f>5703.5+3620</f>
        <v>9323.5</v>
      </c>
      <c r="CR40" s="189">
        <v>1</v>
      </c>
      <c r="CS40" s="57">
        <f t="shared" si="249"/>
        <v>9323.5</v>
      </c>
      <c r="CT40" s="20">
        <v>0.1</v>
      </c>
      <c r="CU40" s="95">
        <f t="shared" si="290"/>
        <v>8391.15</v>
      </c>
      <c r="CV40" s="120"/>
      <c r="CW40" s="19"/>
      <c r="CX40" s="57">
        <f t="shared" si="291"/>
        <v>0</v>
      </c>
      <c r="CY40" s="20"/>
      <c r="CZ40" s="95">
        <f t="shared" si="292"/>
        <v>0</v>
      </c>
      <c r="DA40" s="120"/>
      <c r="DB40" s="19"/>
      <c r="DC40" s="57">
        <f t="shared" si="293"/>
        <v>0</v>
      </c>
      <c r="DD40" s="20"/>
      <c r="DE40" s="95">
        <f t="shared" si="294"/>
        <v>0</v>
      </c>
      <c r="DF40" s="91"/>
      <c r="DG40" s="19"/>
      <c r="DH40" s="57">
        <f t="shared" si="295"/>
        <v>0</v>
      </c>
      <c r="DI40" s="20"/>
      <c r="DJ40" s="100">
        <f t="shared" si="296"/>
        <v>0</v>
      </c>
      <c r="DK40" s="91"/>
      <c r="DL40" s="19"/>
      <c r="DM40" s="57">
        <f t="shared" si="297"/>
        <v>0</v>
      </c>
      <c r="DN40" s="20"/>
      <c r="DO40" s="100">
        <f t="shared" si="298"/>
        <v>0</v>
      </c>
      <c r="DP40" s="91"/>
      <c r="DQ40" s="19"/>
      <c r="DR40" s="57">
        <f t="shared" si="299"/>
        <v>0</v>
      </c>
      <c r="DS40" s="20"/>
      <c r="DT40" s="100">
        <f t="shared" si="300"/>
        <v>0</v>
      </c>
      <c r="DU40" s="91"/>
      <c r="DV40" s="19"/>
      <c r="DW40" s="57">
        <f t="shared" si="301"/>
        <v>0</v>
      </c>
      <c r="DX40" s="20"/>
      <c r="DY40" s="100">
        <f t="shared" si="302"/>
        <v>0</v>
      </c>
      <c r="DZ40" s="91"/>
      <c r="EA40" s="19"/>
      <c r="EB40" s="57">
        <f t="shared" si="303"/>
        <v>0</v>
      </c>
      <c r="EC40" s="20"/>
      <c r="ED40" s="100">
        <f t="shared" si="304"/>
        <v>0</v>
      </c>
      <c r="EE40" s="91"/>
      <c r="EF40" s="19"/>
      <c r="EG40" s="57">
        <f t="shared" si="305"/>
        <v>0</v>
      </c>
      <c r="EH40" s="20"/>
      <c r="EI40" s="100">
        <f t="shared" si="306"/>
        <v>0</v>
      </c>
      <c r="EJ40" s="91"/>
      <c r="EK40" s="19"/>
      <c r="EL40" s="57">
        <f t="shared" si="307"/>
        <v>0</v>
      </c>
      <c r="EM40" s="20"/>
      <c r="EN40" s="100">
        <f t="shared" si="308"/>
        <v>0</v>
      </c>
      <c r="EO40" s="91"/>
      <c r="EP40" s="19"/>
      <c r="EQ40" s="57">
        <f t="shared" si="309"/>
        <v>0</v>
      </c>
      <c r="ER40" s="20"/>
      <c r="ES40" s="100">
        <f t="shared" si="310"/>
        <v>0</v>
      </c>
      <c r="ET40" s="55"/>
      <c r="EU40" s="55"/>
    </row>
    <row r="41" spans="1:151" x14ac:dyDescent="0.25">
      <c r="A41" s="177" t="s">
        <v>125</v>
      </c>
      <c r="B41" s="107">
        <f t="shared" si="272"/>
        <v>55259.125</v>
      </c>
      <c r="C41" s="91"/>
      <c r="D41" s="19"/>
      <c r="E41" s="57">
        <f t="shared" si="273"/>
        <v>0</v>
      </c>
      <c r="F41" s="20"/>
      <c r="G41" s="95">
        <f t="shared" si="274"/>
        <v>0</v>
      </c>
      <c r="H41" s="120"/>
      <c r="I41" s="19"/>
      <c r="J41" s="57">
        <f t="shared" si="275"/>
        <v>0</v>
      </c>
      <c r="K41" s="20"/>
      <c r="L41" s="95">
        <f t="shared" si="276"/>
        <v>0</v>
      </c>
      <c r="M41" s="190">
        <v>2494</v>
      </c>
      <c r="N41" s="189">
        <v>1</v>
      </c>
      <c r="O41" s="57">
        <f t="shared" si="217"/>
        <v>2494</v>
      </c>
      <c r="P41" s="20">
        <v>0</v>
      </c>
      <c r="Q41" s="176">
        <f t="shared" si="218"/>
        <v>2494</v>
      </c>
      <c r="R41" s="190">
        <v>2494</v>
      </c>
      <c r="S41" s="189">
        <v>1</v>
      </c>
      <c r="T41" s="57">
        <f t="shared" si="219"/>
        <v>2494</v>
      </c>
      <c r="U41" s="20">
        <v>0</v>
      </c>
      <c r="V41" s="95">
        <f t="shared" si="277"/>
        <v>2494</v>
      </c>
      <c r="W41" s="190">
        <v>2141.25</v>
      </c>
      <c r="X41" s="19">
        <v>3</v>
      </c>
      <c r="Y41" s="57">
        <f t="shared" si="221"/>
        <v>6423.75</v>
      </c>
      <c r="Z41" s="20">
        <v>0</v>
      </c>
      <c r="AA41" s="176">
        <f t="shared" si="222"/>
        <v>6423.75</v>
      </c>
      <c r="AB41" s="190">
        <v>2141.25</v>
      </c>
      <c r="AC41" s="19">
        <v>3</v>
      </c>
      <c r="AD41" s="57">
        <f t="shared" si="223"/>
        <v>6423.75</v>
      </c>
      <c r="AE41" s="20">
        <v>0.1</v>
      </c>
      <c r="AF41" s="95">
        <f t="shared" si="278"/>
        <v>5781.375</v>
      </c>
      <c r="AG41" s="190">
        <v>1768</v>
      </c>
      <c r="AH41" s="19">
        <v>3</v>
      </c>
      <c r="AI41" s="57">
        <f t="shared" si="225"/>
        <v>5304</v>
      </c>
      <c r="AJ41" s="20">
        <v>0</v>
      </c>
      <c r="AK41" s="176">
        <f t="shared" si="226"/>
        <v>5304</v>
      </c>
      <c r="AL41" s="190">
        <v>3255</v>
      </c>
      <c r="AM41" s="19">
        <v>3</v>
      </c>
      <c r="AN41" s="57">
        <f t="shared" si="227"/>
        <v>9765</v>
      </c>
      <c r="AO41" s="20">
        <v>0</v>
      </c>
      <c r="AP41" s="100">
        <f t="shared" si="279"/>
        <v>9765</v>
      </c>
      <c r="AQ41" s="190">
        <v>1670.5</v>
      </c>
      <c r="AR41" s="19">
        <v>2</v>
      </c>
      <c r="AS41" s="57">
        <f t="shared" si="229"/>
        <v>3341</v>
      </c>
      <c r="AT41" s="20">
        <v>0</v>
      </c>
      <c r="AU41" s="176">
        <f t="shared" si="230"/>
        <v>3341</v>
      </c>
      <c r="AV41" s="190">
        <v>1798.25</v>
      </c>
      <c r="AW41" s="189">
        <v>2</v>
      </c>
      <c r="AX41" s="57">
        <f t="shared" si="231"/>
        <v>3596.5</v>
      </c>
      <c r="AY41" s="20">
        <v>0</v>
      </c>
      <c r="AZ41" s="100">
        <f t="shared" si="280"/>
        <v>3596.5</v>
      </c>
      <c r="BA41" s="190">
        <v>2998.25</v>
      </c>
      <c r="BB41" s="19">
        <v>2</v>
      </c>
      <c r="BC41" s="57">
        <f t="shared" si="233"/>
        <v>5996.5</v>
      </c>
      <c r="BD41" s="20">
        <v>0</v>
      </c>
      <c r="BE41" s="176">
        <f t="shared" si="234"/>
        <v>5996.5</v>
      </c>
      <c r="BF41" s="190">
        <v>3456.5</v>
      </c>
      <c r="BG41" s="19">
        <v>2</v>
      </c>
      <c r="BH41" s="57">
        <f t="shared" si="235"/>
        <v>6913</v>
      </c>
      <c r="BI41" s="20">
        <v>0</v>
      </c>
      <c r="BJ41" s="100">
        <f t="shared" si="281"/>
        <v>6913</v>
      </c>
      <c r="BK41" s="175">
        <v>1632.5</v>
      </c>
      <c r="BL41" s="189">
        <v>0</v>
      </c>
      <c r="BM41" s="57">
        <f t="shared" si="237"/>
        <v>0</v>
      </c>
      <c r="BN41" s="20">
        <v>0</v>
      </c>
      <c r="BO41" s="100">
        <f t="shared" si="282"/>
        <v>0</v>
      </c>
      <c r="BP41" s="190">
        <v>3500</v>
      </c>
      <c r="BQ41" s="19">
        <v>1</v>
      </c>
      <c r="BR41" s="57">
        <f t="shared" si="239"/>
        <v>3500</v>
      </c>
      <c r="BS41" s="20">
        <v>0.1</v>
      </c>
      <c r="BT41" s="100">
        <f t="shared" si="283"/>
        <v>3150</v>
      </c>
      <c r="BU41" s="55"/>
      <c r="BV41" s="107">
        <f t="shared" si="284"/>
        <v>26992</v>
      </c>
      <c r="BW41" s="193">
        <v>2305</v>
      </c>
      <c r="BX41" s="189">
        <v>3</v>
      </c>
      <c r="BY41" s="57">
        <f t="shared" si="285"/>
        <v>6915</v>
      </c>
      <c r="BZ41" s="20">
        <v>0</v>
      </c>
      <c r="CA41" s="95">
        <f t="shared" si="286"/>
        <v>6915</v>
      </c>
      <c r="CB41" s="193">
        <v>2141.25</v>
      </c>
      <c r="CC41" s="189">
        <v>2</v>
      </c>
      <c r="CD41" s="57">
        <f t="shared" si="243"/>
        <v>4282.5</v>
      </c>
      <c r="CE41" s="20">
        <v>0</v>
      </c>
      <c r="CF41" s="95">
        <f t="shared" si="287"/>
        <v>4282.5</v>
      </c>
      <c r="CG41" s="193">
        <v>2992.5</v>
      </c>
      <c r="CH41" s="189">
        <v>2</v>
      </c>
      <c r="CI41" s="57">
        <f t="shared" si="245"/>
        <v>5985</v>
      </c>
      <c r="CJ41" s="20">
        <v>0</v>
      </c>
      <c r="CK41" s="95">
        <f t="shared" si="288"/>
        <v>5985</v>
      </c>
      <c r="CL41" s="193">
        <v>1798.75</v>
      </c>
      <c r="CM41" s="189">
        <v>2</v>
      </c>
      <c r="CN41" s="57">
        <f t="shared" si="247"/>
        <v>3597.5</v>
      </c>
      <c r="CO41" s="20">
        <v>0</v>
      </c>
      <c r="CP41" s="95">
        <f t="shared" si="289"/>
        <v>3597.5</v>
      </c>
      <c r="CQ41" s="193">
        <v>3106</v>
      </c>
      <c r="CR41" s="189">
        <v>2</v>
      </c>
      <c r="CS41" s="57">
        <f t="shared" si="249"/>
        <v>6212</v>
      </c>
      <c r="CT41" s="20">
        <v>0</v>
      </c>
      <c r="CU41" s="95">
        <f t="shared" si="290"/>
        <v>6212</v>
      </c>
      <c r="CV41" s="120"/>
      <c r="CW41" s="19"/>
      <c r="CX41" s="57">
        <f t="shared" si="291"/>
        <v>0</v>
      </c>
      <c r="CY41" s="20"/>
      <c r="CZ41" s="95">
        <f t="shared" si="292"/>
        <v>0</v>
      </c>
      <c r="DA41" s="120"/>
      <c r="DB41" s="19"/>
      <c r="DC41" s="57">
        <f t="shared" si="293"/>
        <v>0</v>
      </c>
      <c r="DD41" s="20"/>
      <c r="DE41" s="95">
        <f t="shared" si="294"/>
        <v>0</v>
      </c>
      <c r="DF41" s="91"/>
      <c r="DG41" s="19"/>
      <c r="DH41" s="57">
        <f t="shared" si="295"/>
        <v>0</v>
      </c>
      <c r="DI41" s="20"/>
      <c r="DJ41" s="100">
        <f t="shared" si="296"/>
        <v>0</v>
      </c>
      <c r="DK41" s="91"/>
      <c r="DL41" s="19"/>
      <c r="DM41" s="57">
        <f t="shared" si="297"/>
        <v>0</v>
      </c>
      <c r="DN41" s="20"/>
      <c r="DO41" s="100">
        <f t="shared" si="298"/>
        <v>0</v>
      </c>
      <c r="DP41" s="91"/>
      <c r="DQ41" s="19"/>
      <c r="DR41" s="57">
        <f t="shared" si="299"/>
        <v>0</v>
      </c>
      <c r="DS41" s="20"/>
      <c r="DT41" s="100">
        <f t="shared" si="300"/>
        <v>0</v>
      </c>
      <c r="DU41" s="91"/>
      <c r="DV41" s="19"/>
      <c r="DW41" s="57">
        <f t="shared" si="301"/>
        <v>0</v>
      </c>
      <c r="DX41" s="20"/>
      <c r="DY41" s="100">
        <f t="shared" si="302"/>
        <v>0</v>
      </c>
      <c r="DZ41" s="91"/>
      <c r="EA41" s="19"/>
      <c r="EB41" s="57">
        <f t="shared" si="303"/>
        <v>0</v>
      </c>
      <c r="EC41" s="20"/>
      <c r="ED41" s="100">
        <f t="shared" si="304"/>
        <v>0</v>
      </c>
      <c r="EE41" s="91"/>
      <c r="EF41" s="19"/>
      <c r="EG41" s="57">
        <f t="shared" si="305"/>
        <v>0</v>
      </c>
      <c r="EH41" s="20"/>
      <c r="EI41" s="100">
        <f t="shared" si="306"/>
        <v>0</v>
      </c>
      <c r="EJ41" s="91"/>
      <c r="EK41" s="19"/>
      <c r="EL41" s="57">
        <f t="shared" si="307"/>
        <v>0</v>
      </c>
      <c r="EM41" s="20"/>
      <c r="EN41" s="100">
        <f t="shared" si="308"/>
        <v>0</v>
      </c>
      <c r="EO41" s="91"/>
      <c r="EP41" s="19"/>
      <c r="EQ41" s="57">
        <f t="shared" si="309"/>
        <v>0</v>
      </c>
      <c r="ER41" s="20"/>
      <c r="ES41" s="100">
        <f t="shared" si="310"/>
        <v>0</v>
      </c>
      <c r="ET41" s="55"/>
      <c r="EU41" s="55"/>
    </row>
    <row r="42" spans="1:151" x14ac:dyDescent="0.25">
      <c r="A42" s="177" t="s">
        <v>126</v>
      </c>
      <c r="B42" s="107">
        <f t="shared" si="272"/>
        <v>6900</v>
      </c>
      <c r="C42" s="91"/>
      <c r="D42" s="19"/>
      <c r="E42" s="57">
        <f t="shared" si="273"/>
        <v>0</v>
      </c>
      <c r="F42" s="20"/>
      <c r="G42" s="95">
        <f t="shared" si="274"/>
        <v>0</v>
      </c>
      <c r="H42" s="120"/>
      <c r="I42" s="19"/>
      <c r="J42" s="57">
        <f t="shared" si="275"/>
        <v>0</v>
      </c>
      <c r="K42" s="20"/>
      <c r="L42" s="95">
        <f t="shared" si="276"/>
        <v>0</v>
      </c>
      <c r="M42" s="120"/>
      <c r="N42" s="19"/>
      <c r="O42" s="57">
        <f t="shared" ref="O42:O47" si="311">SUM(M42*N42)</f>
        <v>0</v>
      </c>
      <c r="P42" s="20"/>
      <c r="Q42" s="95">
        <f t="shared" ref="Q42:Q47" si="312">O42-O42*P42</f>
        <v>0</v>
      </c>
      <c r="R42" s="120"/>
      <c r="S42" s="19"/>
      <c r="T42" s="57">
        <f t="shared" ref="T42:T47" si="313">SUM(R42*S42)</f>
        <v>0</v>
      </c>
      <c r="U42" s="20"/>
      <c r="V42" s="95">
        <f t="shared" si="277"/>
        <v>0</v>
      </c>
      <c r="W42" s="120"/>
      <c r="X42" s="19"/>
      <c r="Y42" s="57">
        <f t="shared" ref="Y42:Y47" si="314">SUM(W42*X42)</f>
        <v>0</v>
      </c>
      <c r="Z42" s="20"/>
      <c r="AA42" s="95">
        <f t="shared" ref="AA42:AA47" si="315">Y42-Y42*Z42</f>
        <v>0</v>
      </c>
      <c r="AB42" s="120"/>
      <c r="AC42" s="19"/>
      <c r="AD42" s="57">
        <f t="shared" ref="AD42:AD47" si="316">SUM(AB42*AC42)</f>
        <v>0</v>
      </c>
      <c r="AE42" s="20"/>
      <c r="AF42" s="95">
        <f t="shared" si="278"/>
        <v>0</v>
      </c>
      <c r="AG42" s="175"/>
      <c r="AH42" s="19"/>
      <c r="AI42" s="57"/>
      <c r="AJ42" s="20"/>
      <c r="AK42" s="176"/>
      <c r="AL42" s="190">
        <v>6900</v>
      </c>
      <c r="AM42" s="189">
        <v>1</v>
      </c>
      <c r="AN42" s="57">
        <f t="shared" si="227"/>
        <v>6900</v>
      </c>
      <c r="AO42" s="20">
        <v>0</v>
      </c>
      <c r="AP42" s="100">
        <f t="shared" si="279"/>
        <v>6900</v>
      </c>
      <c r="AQ42" s="91"/>
      <c r="AR42" s="19"/>
      <c r="AS42" s="57">
        <f t="shared" ref="AS42:AS47" si="317">SUM(AQ42*AR42)</f>
        <v>0</v>
      </c>
      <c r="AT42" s="20"/>
      <c r="AU42" s="100">
        <f t="shared" ref="AU42:AU47" si="318">AS42-AS42*AT42</f>
        <v>0</v>
      </c>
      <c r="AV42" s="91"/>
      <c r="AW42" s="19"/>
      <c r="AX42" s="57">
        <f t="shared" ref="AX42:AX47" si="319">SUM(AV42*AW42)</f>
        <v>0</v>
      </c>
      <c r="AY42" s="20"/>
      <c r="AZ42" s="100">
        <f t="shared" si="280"/>
        <v>0</v>
      </c>
      <c r="BA42" s="91"/>
      <c r="BB42" s="19"/>
      <c r="BC42" s="57">
        <f t="shared" ref="BC42:BC45" si="320">SUM(BA42*BB42)</f>
        <v>0</v>
      </c>
      <c r="BD42" s="20"/>
      <c r="BE42" s="100">
        <f t="shared" ref="BE42:BE47" si="321">BC42-BC42*BD42</f>
        <v>0</v>
      </c>
      <c r="BF42" s="91"/>
      <c r="BG42" s="19"/>
      <c r="BH42" s="57">
        <f t="shared" ref="BH42:BH47" si="322">SUM(BF42*BG42)</f>
        <v>0</v>
      </c>
      <c r="BI42" s="20"/>
      <c r="BJ42" s="100">
        <f t="shared" si="281"/>
        <v>0</v>
      </c>
      <c r="BK42" s="91"/>
      <c r="BL42" s="19"/>
      <c r="BM42" s="57">
        <f t="shared" ref="BM42:BM47" si="323">SUM(BK42*BL42)</f>
        <v>0</v>
      </c>
      <c r="BN42" s="20"/>
      <c r="BO42" s="100">
        <f t="shared" si="282"/>
        <v>0</v>
      </c>
      <c r="BP42" s="91"/>
      <c r="BQ42" s="19"/>
      <c r="BR42" s="57">
        <f t="shared" ref="BR42:BR47" si="324">SUM(BP42*BQ42)</f>
        <v>0</v>
      </c>
      <c r="BS42" s="20"/>
      <c r="BT42" s="100">
        <f t="shared" si="283"/>
        <v>0</v>
      </c>
      <c r="BU42" s="55"/>
      <c r="BV42" s="107">
        <f t="shared" si="284"/>
        <v>0</v>
      </c>
      <c r="BW42" s="91"/>
      <c r="BX42" s="19"/>
      <c r="BY42" s="57">
        <f t="shared" si="285"/>
        <v>0</v>
      </c>
      <c r="BZ42" s="20"/>
      <c r="CA42" s="95">
        <f t="shared" si="286"/>
        <v>0</v>
      </c>
      <c r="CB42" s="120"/>
      <c r="CC42" s="19"/>
      <c r="CD42" s="57">
        <f t="shared" ref="CD42:CD47" si="325">SUM(CB42*CC42)</f>
        <v>0</v>
      </c>
      <c r="CE42" s="20"/>
      <c r="CF42" s="95">
        <f t="shared" si="287"/>
        <v>0</v>
      </c>
      <c r="CG42" s="120"/>
      <c r="CH42" s="19"/>
      <c r="CI42" s="57">
        <f t="shared" ref="CI42:CI47" si="326">SUM(CG42*CH42)</f>
        <v>0</v>
      </c>
      <c r="CJ42" s="20"/>
      <c r="CK42" s="95">
        <f t="shared" si="288"/>
        <v>0</v>
      </c>
      <c r="CL42" s="120"/>
      <c r="CM42" s="19"/>
      <c r="CN42" s="57">
        <f t="shared" ref="CN42:CN47" si="327">SUM(CL42*CM42)</f>
        <v>0</v>
      </c>
      <c r="CO42" s="20"/>
      <c r="CP42" s="95">
        <f t="shared" si="289"/>
        <v>0</v>
      </c>
      <c r="CQ42" s="120"/>
      <c r="CR42" s="19"/>
      <c r="CS42" s="57">
        <f t="shared" ref="CS42:CS50" si="328">SUM(CQ42*CR42)</f>
        <v>0</v>
      </c>
      <c r="CT42" s="20"/>
      <c r="CU42" s="95">
        <f t="shared" si="290"/>
        <v>0</v>
      </c>
      <c r="CV42" s="120"/>
      <c r="CW42" s="19"/>
      <c r="CX42" s="57">
        <f t="shared" si="291"/>
        <v>0</v>
      </c>
      <c r="CY42" s="20"/>
      <c r="CZ42" s="95">
        <f t="shared" si="292"/>
        <v>0</v>
      </c>
      <c r="DA42" s="120"/>
      <c r="DB42" s="19"/>
      <c r="DC42" s="57">
        <f t="shared" si="293"/>
        <v>0</v>
      </c>
      <c r="DD42" s="20"/>
      <c r="DE42" s="95">
        <f t="shared" si="294"/>
        <v>0</v>
      </c>
      <c r="DF42" s="91"/>
      <c r="DG42" s="19"/>
      <c r="DH42" s="57">
        <f t="shared" si="295"/>
        <v>0</v>
      </c>
      <c r="DI42" s="20"/>
      <c r="DJ42" s="100">
        <f t="shared" si="296"/>
        <v>0</v>
      </c>
      <c r="DK42" s="91"/>
      <c r="DL42" s="19"/>
      <c r="DM42" s="57">
        <f t="shared" si="297"/>
        <v>0</v>
      </c>
      <c r="DN42" s="20"/>
      <c r="DO42" s="100">
        <f t="shared" si="298"/>
        <v>0</v>
      </c>
      <c r="DP42" s="91"/>
      <c r="DQ42" s="19"/>
      <c r="DR42" s="57">
        <f t="shared" si="299"/>
        <v>0</v>
      </c>
      <c r="DS42" s="20"/>
      <c r="DT42" s="100">
        <f t="shared" si="300"/>
        <v>0</v>
      </c>
      <c r="DU42" s="91"/>
      <c r="DV42" s="19"/>
      <c r="DW42" s="57">
        <f t="shared" si="301"/>
        <v>0</v>
      </c>
      <c r="DX42" s="20"/>
      <c r="DY42" s="100">
        <f t="shared" si="302"/>
        <v>0</v>
      </c>
      <c r="DZ42" s="91"/>
      <c r="EA42" s="19"/>
      <c r="EB42" s="57">
        <f t="shared" si="303"/>
        <v>0</v>
      </c>
      <c r="EC42" s="20"/>
      <c r="ED42" s="100">
        <f t="shared" si="304"/>
        <v>0</v>
      </c>
      <c r="EE42" s="91"/>
      <c r="EF42" s="19"/>
      <c r="EG42" s="57">
        <f t="shared" si="305"/>
        <v>0</v>
      </c>
      <c r="EH42" s="20"/>
      <c r="EI42" s="100">
        <f t="shared" si="306"/>
        <v>0</v>
      </c>
      <c r="EJ42" s="91"/>
      <c r="EK42" s="19"/>
      <c r="EL42" s="57">
        <f t="shared" si="307"/>
        <v>0</v>
      </c>
      <c r="EM42" s="20"/>
      <c r="EN42" s="100">
        <f t="shared" si="308"/>
        <v>0</v>
      </c>
      <c r="EO42" s="91"/>
      <c r="EP42" s="19"/>
      <c r="EQ42" s="57">
        <f t="shared" si="309"/>
        <v>0</v>
      </c>
      <c r="ER42" s="20"/>
      <c r="ES42" s="100">
        <f t="shared" si="310"/>
        <v>0</v>
      </c>
      <c r="ET42" s="55"/>
      <c r="EU42" s="55"/>
    </row>
    <row r="43" spans="1:151" x14ac:dyDescent="0.25">
      <c r="A43" s="177" t="s">
        <v>127</v>
      </c>
      <c r="B43" s="107">
        <f t="shared" si="272"/>
        <v>11088</v>
      </c>
      <c r="C43" s="91"/>
      <c r="D43" s="19"/>
      <c r="E43" s="57">
        <f t="shared" si="273"/>
        <v>0</v>
      </c>
      <c r="F43" s="20"/>
      <c r="G43" s="95">
        <f t="shared" si="274"/>
        <v>0</v>
      </c>
      <c r="H43" s="120"/>
      <c r="I43" s="19"/>
      <c r="J43" s="57">
        <f t="shared" si="275"/>
        <v>0</v>
      </c>
      <c r="K43" s="20"/>
      <c r="L43" s="95">
        <f t="shared" si="276"/>
        <v>0</v>
      </c>
      <c r="M43" s="120"/>
      <c r="N43" s="19"/>
      <c r="O43" s="57">
        <f t="shared" si="311"/>
        <v>0</v>
      </c>
      <c r="P43" s="20"/>
      <c r="Q43" s="95">
        <f t="shared" si="312"/>
        <v>0</v>
      </c>
      <c r="R43" s="120"/>
      <c r="S43" s="19"/>
      <c r="T43" s="57">
        <f t="shared" si="313"/>
        <v>0</v>
      </c>
      <c r="U43" s="20"/>
      <c r="V43" s="95">
        <f t="shared" si="277"/>
        <v>0</v>
      </c>
      <c r="W43" s="120"/>
      <c r="X43" s="19"/>
      <c r="Y43" s="57">
        <f t="shared" si="314"/>
        <v>0</v>
      </c>
      <c r="Z43" s="20"/>
      <c r="AA43" s="95">
        <f t="shared" si="315"/>
        <v>0</v>
      </c>
      <c r="AB43" s="120"/>
      <c r="AC43" s="19"/>
      <c r="AD43" s="57">
        <f t="shared" si="316"/>
        <v>0</v>
      </c>
      <c r="AE43" s="20"/>
      <c r="AF43" s="95">
        <f t="shared" si="278"/>
        <v>0</v>
      </c>
      <c r="AG43" s="175"/>
      <c r="AH43" s="19"/>
      <c r="AI43" s="57"/>
      <c r="AJ43" s="20"/>
      <c r="AK43" s="176"/>
      <c r="AL43" s="175"/>
      <c r="AM43" s="19"/>
      <c r="AN43" s="57"/>
      <c r="AO43" s="20"/>
      <c r="AP43" s="100">
        <f t="shared" si="279"/>
        <v>0</v>
      </c>
      <c r="AQ43" s="91"/>
      <c r="AR43" s="19"/>
      <c r="AS43" s="57">
        <f t="shared" si="317"/>
        <v>0</v>
      </c>
      <c r="AT43" s="20"/>
      <c r="AU43" s="100">
        <f t="shared" si="318"/>
        <v>0</v>
      </c>
      <c r="AV43" s="91"/>
      <c r="AW43" s="19"/>
      <c r="AX43" s="57">
        <f t="shared" si="319"/>
        <v>0</v>
      </c>
      <c r="AY43" s="20"/>
      <c r="AZ43" s="100">
        <f t="shared" si="280"/>
        <v>0</v>
      </c>
      <c r="BA43" s="175">
        <v>12320</v>
      </c>
      <c r="BB43" s="19">
        <v>1</v>
      </c>
      <c r="BC43" s="57">
        <f t="shared" si="320"/>
        <v>12320</v>
      </c>
      <c r="BD43" s="20">
        <v>0.1</v>
      </c>
      <c r="BE43" s="100">
        <f t="shared" si="321"/>
        <v>11088</v>
      </c>
      <c r="BF43" s="91"/>
      <c r="BG43" s="19"/>
      <c r="BH43" s="57">
        <f t="shared" si="322"/>
        <v>0</v>
      </c>
      <c r="BI43" s="20"/>
      <c r="BJ43" s="100">
        <f t="shared" si="281"/>
        <v>0</v>
      </c>
      <c r="BK43" s="91"/>
      <c r="BL43" s="19"/>
      <c r="BM43" s="57">
        <f t="shared" si="323"/>
        <v>0</v>
      </c>
      <c r="BN43" s="20"/>
      <c r="BO43" s="100">
        <f t="shared" si="282"/>
        <v>0</v>
      </c>
      <c r="BP43" s="91"/>
      <c r="BQ43" s="19"/>
      <c r="BR43" s="57">
        <f t="shared" si="324"/>
        <v>0</v>
      </c>
      <c r="BS43" s="20"/>
      <c r="BT43" s="100">
        <f t="shared" si="283"/>
        <v>0</v>
      </c>
      <c r="BU43" s="55"/>
      <c r="BV43" s="107">
        <f t="shared" si="284"/>
        <v>0</v>
      </c>
      <c r="BW43" s="91"/>
      <c r="BX43" s="19"/>
      <c r="BY43" s="57">
        <f t="shared" si="285"/>
        <v>0</v>
      </c>
      <c r="BZ43" s="20"/>
      <c r="CA43" s="95">
        <f t="shared" si="286"/>
        <v>0</v>
      </c>
      <c r="CB43" s="120"/>
      <c r="CC43" s="19"/>
      <c r="CD43" s="57">
        <f t="shared" si="325"/>
        <v>0</v>
      </c>
      <c r="CE43" s="20"/>
      <c r="CF43" s="95">
        <f t="shared" si="287"/>
        <v>0</v>
      </c>
      <c r="CG43" s="120"/>
      <c r="CH43" s="19"/>
      <c r="CI43" s="57">
        <f t="shared" si="326"/>
        <v>0</v>
      </c>
      <c r="CJ43" s="20"/>
      <c r="CK43" s="95">
        <f t="shared" si="288"/>
        <v>0</v>
      </c>
      <c r="CL43" s="120"/>
      <c r="CM43" s="19"/>
      <c r="CN43" s="57">
        <f t="shared" si="327"/>
        <v>0</v>
      </c>
      <c r="CO43" s="20"/>
      <c r="CP43" s="95">
        <f t="shared" si="289"/>
        <v>0</v>
      </c>
      <c r="CQ43" s="120"/>
      <c r="CR43" s="19"/>
      <c r="CS43" s="57">
        <f t="shared" si="328"/>
        <v>0</v>
      </c>
      <c r="CT43" s="20"/>
      <c r="CU43" s="95">
        <f t="shared" si="290"/>
        <v>0</v>
      </c>
      <c r="CV43" s="120"/>
      <c r="CW43" s="19"/>
      <c r="CX43" s="57">
        <f t="shared" si="291"/>
        <v>0</v>
      </c>
      <c r="CY43" s="20"/>
      <c r="CZ43" s="95">
        <f t="shared" si="292"/>
        <v>0</v>
      </c>
      <c r="DA43" s="120"/>
      <c r="DB43" s="19"/>
      <c r="DC43" s="57">
        <f t="shared" si="293"/>
        <v>0</v>
      </c>
      <c r="DD43" s="20"/>
      <c r="DE43" s="95">
        <f t="shared" si="294"/>
        <v>0</v>
      </c>
      <c r="DF43" s="91"/>
      <c r="DG43" s="19"/>
      <c r="DH43" s="57">
        <f t="shared" si="295"/>
        <v>0</v>
      </c>
      <c r="DI43" s="20"/>
      <c r="DJ43" s="100">
        <f t="shared" si="296"/>
        <v>0</v>
      </c>
      <c r="DK43" s="91"/>
      <c r="DL43" s="19"/>
      <c r="DM43" s="57">
        <f t="shared" si="297"/>
        <v>0</v>
      </c>
      <c r="DN43" s="20"/>
      <c r="DO43" s="100">
        <f t="shared" si="298"/>
        <v>0</v>
      </c>
      <c r="DP43" s="91"/>
      <c r="DQ43" s="19"/>
      <c r="DR43" s="57">
        <f t="shared" si="299"/>
        <v>0</v>
      </c>
      <c r="DS43" s="20"/>
      <c r="DT43" s="100">
        <f t="shared" si="300"/>
        <v>0</v>
      </c>
      <c r="DU43" s="91"/>
      <c r="DV43" s="19"/>
      <c r="DW43" s="57">
        <f t="shared" si="301"/>
        <v>0</v>
      </c>
      <c r="DX43" s="20"/>
      <c r="DY43" s="100">
        <f t="shared" si="302"/>
        <v>0</v>
      </c>
      <c r="DZ43" s="91"/>
      <c r="EA43" s="19"/>
      <c r="EB43" s="57">
        <f t="shared" si="303"/>
        <v>0</v>
      </c>
      <c r="EC43" s="20"/>
      <c r="ED43" s="100">
        <f t="shared" si="304"/>
        <v>0</v>
      </c>
      <c r="EE43" s="91"/>
      <c r="EF43" s="19"/>
      <c r="EG43" s="57">
        <f t="shared" si="305"/>
        <v>0</v>
      </c>
      <c r="EH43" s="20"/>
      <c r="EI43" s="100">
        <f t="shared" si="306"/>
        <v>0</v>
      </c>
      <c r="EJ43" s="91"/>
      <c r="EK43" s="19"/>
      <c r="EL43" s="57">
        <f t="shared" si="307"/>
        <v>0</v>
      </c>
      <c r="EM43" s="20"/>
      <c r="EN43" s="100">
        <f t="shared" si="308"/>
        <v>0</v>
      </c>
      <c r="EO43" s="91"/>
      <c r="EP43" s="19"/>
      <c r="EQ43" s="57">
        <f t="shared" si="309"/>
        <v>0</v>
      </c>
      <c r="ER43" s="20"/>
      <c r="ES43" s="100">
        <f t="shared" si="310"/>
        <v>0</v>
      </c>
      <c r="ET43" s="55"/>
      <c r="EU43" s="55"/>
    </row>
    <row r="44" spans="1:151" x14ac:dyDescent="0.25">
      <c r="A44" s="177" t="s">
        <v>128</v>
      </c>
      <c r="B44" s="107">
        <f t="shared" si="272"/>
        <v>0</v>
      </c>
      <c r="C44" s="91"/>
      <c r="D44" s="19"/>
      <c r="E44" s="57">
        <f t="shared" si="273"/>
        <v>0</v>
      </c>
      <c r="F44" s="20"/>
      <c r="G44" s="95">
        <f t="shared" si="274"/>
        <v>0</v>
      </c>
      <c r="H44" s="120"/>
      <c r="I44" s="19"/>
      <c r="J44" s="57">
        <f t="shared" si="275"/>
        <v>0</v>
      </c>
      <c r="K44" s="20"/>
      <c r="L44" s="95">
        <f t="shared" si="276"/>
        <v>0</v>
      </c>
      <c r="M44" s="120"/>
      <c r="N44" s="19"/>
      <c r="O44" s="57">
        <f t="shared" si="311"/>
        <v>0</v>
      </c>
      <c r="P44" s="20"/>
      <c r="Q44" s="95">
        <f t="shared" si="312"/>
        <v>0</v>
      </c>
      <c r="R44" s="120"/>
      <c r="S44" s="19"/>
      <c r="T44" s="57">
        <f t="shared" si="313"/>
        <v>0</v>
      </c>
      <c r="U44" s="20"/>
      <c r="V44" s="95">
        <f t="shared" si="277"/>
        <v>0</v>
      </c>
      <c r="W44" s="120"/>
      <c r="X44" s="19"/>
      <c r="Y44" s="57">
        <f t="shared" si="314"/>
        <v>0</v>
      </c>
      <c r="Z44" s="20"/>
      <c r="AA44" s="95">
        <f t="shared" si="315"/>
        <v>0</v>
      </c>
      <c r="AB44" s="120"/>
      <c r="AC44" s="19"/>
      <c r="AD44" s="57">
        <f t="shared" si="316"/>
        <v>0</v>
      </c>
      <c r="AE44" s="20"/>
      <c r="AF44" s="95">
        <f t="shared" si="278"/>
        <v>0</v>
      </c>
      <c r="AG44" s="175"/>
      <c r="AH44" s="19"/>
      <c r="AI44" s="57"/>
      <c r="AJ44" s="20"/>
      <c r="AK44" s="176"/>
      <c r="AL44" s="175"/>
      <c r="AM44" s="19"/>
      <c r="AN44" s="57"/>
      <c r="AO44" s="20"/>
      <c r="AP44" s="100">
        <f t="shared" si="279"/>
        <v>0</v>
      </c>
      <c r="AQ44" s="91"/>
      <c r="AR44" s="19"/>
      <c r="AS44" s="57">
        <f t="shared" si="317"/>
        <v>0</v>
      </c>
      <c r="AT44" s="20"/>
      <c r="AU44" s="100">
        <f t="shared" si="318"/>
        <v>0</v>
      </c>
      <c r="AV44" s="91"/>
      <c r="AW44" s="19"/>
      <c r="AX44" s="57">
        <f t="shared" si="319"/>
        <v>0</v>
      </c>
      <c r="AY44" s="20"/>
      <c r="AZ44" s="100">
        <f t="shared" si="280"/>
        <v>0</v>
      </c>
      <c r="BA44" s="91"/>
      <c r="BB44" s="19"/>
      <c r="BC44" s="57">
        <f t="shared" si="320"/>
        <v>0</v>
      </c>
      <c r="BD44" s="20"/>
      <c r="BE44" s="100">
        <f t="shared" si="321"/>
        <v>0</v>
      </c>
      <c r="BF44" s="91"/>
      <c r="BG44" s="19"/>
      <c r="BH44" s="57">
        <f t="shared" si="322"/>
        <v>0</v>
      </c>
      <c r="BI44" s="20"/>
      <c r="BJ44" s="100">
        <f t="shared" si="281"/>
        <v>0</v>
      </c>
      <c r="BK44" s="91"/>
      <c r="BL44" s="19"/>
      <c r="BM44" s="57">
        <f t="shared" si="323"/>
        <v>0</v>
      </c>
      <c r="BN44" s="20"/>
      <c r="BO44" s="100">
        <f t="shared" si="282"/>
        <v>0</v>
      </c>
      <c r="BP44" s="91"/>
      <c r="BQ44" s="19"/>
      <c r="BR44" s="57">
        <f t="shared" si="324"/>
        <v>0</v>
      </c>
      <c r="BS44" s="20"/>
      <c r="BT44" s="100">
        <f t="shared" si="283"/>
        <v>0</v>
      </c>
      <c r="BU44" s="55"/>
      <c r="BV44" s="107">
        <f t="shared" si="284"/>
        <v>0</v>
      </c>
      <c r="BW44" s="91"/>
      <c r="BX44" s="19"/>
      <c r="BY44" s="57">
        <f t="shared" si="285"/>
        <v>0</v>
      </c>
      <c r="BZ44" s="20"/>
      <c r="CA44" s="95">
        <f t="shared" si="286"/>
        <v>0</v>
      </c>
      <c r="CB44" s="120"/>
      <c r="CC44" s="19"/>
      <c r="CD44" s="57">
        <f t="shared" si="325"/>
        <v>0</v>
      </c>
      <c r="CE44" s="20"/>
      <c r="CF44" s="95">
        <f t="shared" si="287"/>
        <v>0</v>
      </c>
      <c r="CG44" s="120"/>
      <c r="CH44" s="19"/>
      <c r="CI44" s="57">
        <f t="shared" si="326"/>
        <v>0</v>
      </c>
      <c r="CJ44" s="20"/>
      <c r="CK44" s="95">
        <f t="shared" si="288"/>
        <v>0</v>
      </c>
      <c r="CL44" s="120"/>
      <c r="CM44" s="19"/>
      <c r="CN44" s="57">
        <f t="shared" si="327"/>
        <v>0</v>
      </c>
      <c r="CO44" s="20"/>
      <c r="CP44" s="95">
        <f t="shared" si="289"/>
        <v>0</v>
      </c>
      <c r="CQ44" s="120"/>
      <c r="CR44" s="19"/>
      <c r="CS44" s="57">
        <f t="shared" si="328"/>
        <v>0</v>
      </c>
      <c r="CT44" s="20"/>
      <c r="CU44" s="95">
        <f t="shared" si="290"/>
        <v>0</v>
      </c>
      <c r="CV44" s="120"/>
      <c r="CW44" s="19"/>
      <c r="CX44" s="57">
        <f t="shared" si="291"/>
        <v>0</v>
      </c>
      <c r="CY44" s="20"/>
      <c r="CZ44" s="95">
        <f t="shared" si="292"/>
        <v>0</v>
      </c>
      <c r="DA44" s="120"/>
      <c r="DB44" s="19"/>
      <c r="DC44" s="57">
        <f t="shared" si="293"/>
        <v>0</v>
      </c>
      <c r="DD44" s="20"/>
      <c r="DE44" s="95">
        <f t="shared" si="294"/>
        <v>0</v>
      </c>
      <c r="DF44" s="91"/>
      <c r="DG44" s="19"/>
      <c r="DH44" s="57">
        <f t="shared" si="295"/>
        <v>0</v>
      </c>
      <c r="DI44" s="20"/>
      <c r="DJ44" s="100">
        <f t="shared" si="296"/>
        <v>0</v>
      </c>
      <c r="DK44" s="91"/>
      <c r="DL44" s="19"/>
      <c r="DM44" s="57">
        <f t="shared" si="297"/>
        <v>0</v>
      </c>
      <c r="DN44" s="20"/>
      <c r="DO44" s="100">
        <f t="shared" si="298"/>
        <v>0</v>
      </c>
      <c r="DP44" s="91"/>
      <c r="DQ44" s="19"/>
      <c r="DR44" s="57">
        <f t="shared" si="299"/>
        <v>0</v>
      </c>
      <c r="DS44" s="20"/>
      <c r="DT44" s="100">
        <f t="shared" si="300"/>
        <v>0</v>
      </c>
      <c r="DU44" s="91"/>
      <c r="DV44" s="19"/>
      <c r="DW44" s="57">
        <f t="shared" si="301"/>
        <v>0</v>
      </c>
      <c r="DX44" s="20"/>
      <c r="DY44" s="100">
        <f t="shared" si="302"/>
        <v>0</v>
      </c>
      <c r="DZ44" s="91"/>
      <c r="EA44" s="19"/>
      <c r="EB44" s="57">
        <f t="shared" si="303"/>
        <v>0</v>
      </c>
      <c r="EC44" s="20"/>
      <c r="ED44" s="100">
        <f t="shared" si="304"/>
        <v>0</v>
      </c>
      <c r="EE44" s="91"/>
      <c r="EF44" s="19"/>
      <c r="EG44" s="57">
        <f t="shared" si="305"/>
        <v>0</v>
      </c>
      <c r="EH44" s="20"/>
      <c r="EI44" s="100">
        <f t="shared" si="306"/>
        <v>0</v>
      </c>
      <c r="EJ44" s="91"/>
      <c r="EK44" s="19"/>
      <c r="EL44" s="57">
        <f t="shared" si="307"/>
        <v>0</v>
      </c>
      <c r="EM44" s="20"/>
      <c r="EN44" s="100">
        <f t="shared" si="308"/>
        <v>0</v>
      </c>
      <c r="EO44" s="91"/>
      <c r="EP44" s="19"/>
      <c r="EQ44" s="57">
        <f t="shared" si="309"/>
        <v>0</v>
      </c>
      <c r="ER44" s="20"/>
      <c r="ES44" s="100">
        <f t="shared" si="310"/>
        <v>0</v>
      </c>
      <c r="ET44" s="55"/>
      <c r="EU44" s="55"/>
    </row>
    <row r="45" spans="1:151" x14ac:dyDescent="0.25">
      <c r="A45" s="177" t="s">
        <v>129</v>
      </c>
      <c r="B45" s="107">
        <f t="shared" si="272"/>
        <v>2937.5</v>
      </c>
      <c r="C45" s="91"/>
      <c r="D45" s="19"/>
      <c r="E45" s="57">
        <f t="shared" si="273"/>
        <v>0</v>
      </c>
      <c r="F45" s="20"/>
      <c r="G45" s="95">
        <f t="shared" si="274"/>
        <v>0</v>
      </c>
      <c r="H45" s="120"/>
      <c r="I45" s="19"/>
      <c r="J45" s="57">
        <f t="shared" si="275"/>
        <v>0</v>
      </c>
      <c r="K45" s="20"/>
      <c r="L45" s="95">
        <f t="shared" si="276"/>
        <v>0</v>
      </c>
      <c r="M45" s="120"/>
      <c r="N45" s="19"/>
      <c r="O45" s="57">
        <f t="shared" si="311"/>
        <v>0</v>
      </c>
      <c r="P45" s="20"/>
      <c r="Q45" s="95">
        <f t="shared" si="312"/>
        <v>0</v>
      </c>
      <c r="R45" s="120"/>
      <c r="S45" s="19"/>
      <c r="T45" s="57">
        <f t="shared" si="313"/>
        <v>0</v>
      </c>
      <c r="U45" s="20"/>
      <c r="V45" s="95">
        <f t="shared" si="277"/>
        <v>0</v>
      </c>
      <c r="W45" s="120"/>
      <c r="X45" s="19"/>
      <c r="Y45" s="57">
        <f t="shared" si="314"/>
        <v>0</v>
      </c>
      <c r="Z45" s="20"/>
      <c r="AA45" s="95">
        <f t="shared" si="315"/>
        <v>0</v>
      </c>
      <c r="AB45" s="120"/>
      <c r="AC45" s="19"/>
      <c r="AD45" s="57">
        <f t="shared" si="316"/>
        <v>0</v>
      </c>
      <c r="AE45" s="20"/>
      <c r="AF45" s="95">
        <f t="shared" si="278"/>
        <v>0</v>
      </c>
      <c r="AG45" s="175"/>
      <c r="AH45" s="19"/>
      <c r="AI45" s="57"/>
      <c r="AJ45" s="20"/>
      <c r="AK45" s="176"/>
      <c r="AL45" s="190">
        <v>2937.5</v>
      </c>
      <c r="AM45" s="189">
        <v>1</v>
      </c>
      <c r="AN45" s="57">
        <f t="shared" ref="AN45" si="329">SUM(AL45*AM45)</f>
        <v>2937.5</v>
      </c>
      <c r="AO45" s="20">
        <v>0</v>
      </c>
      <c r="AP45" s="100">
        <f t="shared" ref="AP45" si="330">AN45-AN45*AO45</f>
        <v>2937.5</v>
      </c>
      <c r="AQ45" s="91"/>
      <c r="AR45" s="19"/>
      <c r="AS45" s="57">
        <f t="shared" si="317"/>
        <v>0</v>
      </c>
      <c r="AT45" s="20"/>
      <c r="AU45" s="100">
        <f t="shared" si="318"/>
        <v>0</v>
      </c>
      <c r="AV45" s="91"/>
      <c r="AW45" s="19"/>
      <c r="AX45" s="57">
        <f t="shared" si="319"/>
        <v>0</v>
      </c>
      <c r="AY45" s="20"/>
      <c r="AZ45" s="100">
        <f t="shared" si="280"/>
        <v>0</v>
      </c>
      <c r="BA45" s="91"/>
      <c r="BB45" s="19"/>
      <c r="BC45" s="57">
        <f t="shared" si="320"/>
        <v>0</v>
      </c>
      <c r="BD45" s="20"/>
      <c r="BE45" s="100">
        <f t="shared" si="321"/>
        <v>0</v>
      </c>
      <c r="BF45" s="91"/>
      <c r="BG45" s="19"/>
      <c r="BH45" s="57">
        <f t="shared" si="322"/>
        <v>0</v>
      </c>
      <c r="BI45" s="20"/>
      <c r="BJ45" s="100">
        <f t="shared" si="281"/>
        <v>0</v>
      </c>
      <c r="BK45" s="91"/>
      <c r="BL45" s="19"/>
      <c r="BM45" s="57">
        <f t="shared" si="323"/>
        <v>0</v>
      </c>
      <c r="BN45" s="20"/>
      <c r="BO45" s="100">
        <f t="shared" si="282"/>
        <v>0</v>
      </c>
      <c r="BP45" s="91"/>
      <c r="BQ45" s="19"/>
      <c r="BR45" s="57">
        <f t="shared" si="324"/>
        <v>0</v>
      </c>
      <c r="BS45" s="20"/>
      <c r="BT45" s="100">
        <f t="shared" si="283"/>
        <v>0</v>
      </c>
      <c r="BU45" s="55"/>
      <c r="BV45" s="107">
        <f t="shared" si="284"/>
        <v>0</v>
      </c>
      <c r="BW45" s="91"/>
      <c r="BX45" s="19"/>
      <c r="BY45" s="57">
        <f t="shared" si="285"/>
        <v>0</v>
      </c>
      <c r="BZ45" s="20"/>
      <c r="CA45" s="95">
        <f t="shared" si="286"/>
        <v>0</v>
      </c>
      <c r="CB45" s="120"/>
      <c r="CC45" s="19"/>
      <c r="CD45" s="57">
        <f t="shared" si="325"/>
        <v>0</v>
      </c>
      <c r="CE45" s="20"/>
      <c r="CF45" s="95">
        <f t="shared" si="287"/>
        <v>0</v>
      </c>
      <c r="CG45" s="120"/>
      <c r="CH45" s="19"/>
      <c r="CI45" s="57">
        <f t="shared" si="326"/>
        <v>0</v>
      </c>
      <c r="CJ45" s="20"/>
      <c r="CK45" s="95">
        <f t="shared" si="288"/>
        <v>0</v>
      </c>
      <c r="CL45" s="120"/>
      <c r="CM45" s="19"/>
      <c r="CN45" s="57">
        <f t="shared" si="327"/>
        <v>0</v>
      </c>
      <c r="CO45" s="20"/>
      <c r="CP45" s="95">
        <f t="shared" si="289"/>
        <v>0</v>
      </c>
      <c r="CQ45" s="120"/>
      <c r="CR45" s="19"/>
      <c r="CS45" s="57">
        <f t="shared" si="328"/>
        <v>0</v>
      </c>
      <c r="CT45" s="20"/>
      <c r="CU45" s="95">
        <f t="shared" si="290"/>
        <v>0</v>
      </c>
      <c r="CV45" s="120"/>
      <c r="CW45" s="19"/>
      <c r="CX45" s="57">
        <f t="shared" si="291"/>
        <v>0</v>
      </c>
      <c r="CY45" s="20"/>
      <c r="CZ45" s="95">
        <f t="shared" si="292"/>
        <v>0</v>
      </c>
      <c r="DA45" s="120"/>
      <c r="DB45" s="19"/>
      <c r="DC45" s="57">
        <f t="shared" si="293"/>
        <v>0</v>
      </c>
      <c r="DD45" s="20"/>
      <c r="DE45" s="95">
        <f t="shared" si="294"/>
        <v>0</v>
      </c>
      <c r="DF45" s="91"/>
      <c r="DG45" s="19"/>
      <c r="DH45" s="57">
        <f t="shared" si="295"/>
        <v>0</v>
      </c>
      <c r="DI45" s="20"/>
      <c r="DJ45" s="100">
        <f t="shared" si="296"/>
        <v>0</v>
      </c>
      <c r="DK45" s="91"/>
      <c r="DL45" s="19"/>
      <c r="DM45" s="57">
        <f t="shared" si="297"/>
        <v>0</v>
      </c>
      <c r="DN45" s="20"/>
      <c r="DO45" s="100">
        <f t="shared" si="298"/>
        <v>0</v>
      </c>
      <c r="DP45" s="91"/>
      <c r="DQ45" s="19"/>
      <c r="DR45" s="57">
        <f t="shared" si="299"/>
        <v>0</v>
      </c>
      <c r="DS45" s="20"/>
      <c r="DT45" s="100">
        <f t="shared" si="300"/>
        <v>0</v>
      </c>
      <c r="DU45" s="91"/>
      <c r="DV45" s="19"/>
      <c r="DW45" s="57">
        <f t="shared" si="301"/>
        <v>0</v>
      </c>
      <c r="DX45" s="20"/>
      <c r="DY45" s="100">
        <f t="shared" si="302"/>
        <v>0</v>
      </c>
      <c r="DZ45" s="91"/>
      <c r="EA45" s="19"/>
      <c r="EB45" s="57">
        <f t="shared" si="303"/>
        <v>0</v>
      </c>
      <c r="EC45" s="20"/>
      <c r="ED45" s="100">
        <f t="shared" si="304"/>
        <v>0</v>
      </c>
      <c r="EE45" s="91"/>
      <c r="EF45" s="19"/>
      <c r="EG45" s="57">
        <f t="shared" si="305"/>
        <v>0</v>
      </c>
      <c r="EH45" s="20"/>
      <c r="EI45" s="100">
        <f t="shared" si="306"/>
        <v>0</v>
      </c>
      <c r="EJ45" s="91"/>
      <c r="EK45" s="19"/>
      <c r="EL45" s="57">
        <f t="shared" si="307"/>
        <v>0</v>
      </c>
      <c r="EM45" s="20"/>
      <c r="EN45" s="100">
        <f t="shared" si="308"/>
        <v>0</v>
      </c>
      <c r="EO45" s="91"/>
      <c r="EP45" s="19"/>
      <c r="EQ45" s="57">
        <f t="shared" si="309"/>
        <v>0</v>
      </c>
      <c r="ER45" s="20"/>
      <c r="ES45" s="100">
        <f t="shared" si="310"/>
        <v>0</v>
      </c>
      <c r="ET45" s="55"/>
      <c r="EU45" s="55"/>
    </row>
    <row r="46" spans="1:151" x14ac:dyDescent="0.25">
      <c r="A46" s="177" t="s">
        <v>130</v>
      </c>
      <c r="B46" s="107">
        <f t="shared" si="272"/>
        <v>3750</v>
      </c>
      <c r="C46" s="91"/>
      <c r="D46" s="19"/>
      <c r="E46" s="57">
        <f t="shared" si="273"/>
        <v>0</v>
      </c>
      <c r="F46" s="20"/>
      <c r="G46" s="95">
        <f t="shared" si="274"/>
        <v>0</v>
      </c>
      <c r="H46" s="120"/>
      <c r="I46" s="19"/>
      <c r="J46" s="57">
        <f t="shared" si="275"/>
        <v>0</v>
      </c>
      <c r="K46" s="20"/>
      <c r="L46" s="95">
        <f t="shared" si="276"/>
        <v>0</v>
      </c>
      <c r="M46" s="120"/>
      <c r="N46" s="19"/>
      <c r="O46" s="57">
        <f t="shared" si="311"/>
        <v>0</v>
      </c>
      <c r="P46" s="20"/>
      <c r="Q46" s="95">
        <f t="shared" si="312"/>
        <v>0</v>
      </c>
      <c r="R46" s="120"/>
      <c r="S46" s="19"/>
      <c r="T46" s="57">
        <f t="shared" si="313"/>
        <v>0</v>
      </c>
      <c r="U46" s="20"/>
      <c r="V46" s="95">
        <f t="shared" si="277"/>
        <v>0</v>
      </c>
      <c r="W46" s="120"/>
      <c r="X46" s="19"/>
      <c r="Y46" s="57">
        <f t="shared" si="314"/>
        <v>0</v>
      </c>
      <c r="Z46" s="20"/>
      <c r="AA46" s="95">
        <f t="shared" si="315"/>
        <v>0</v>
      </c>
      <c r="AB46" s="120"/>
      <c r="AC46" s="19"/>
      <c r="AD46" s="57">
        <f t="shared" si="316"/>
        <v>0</v>
      </c>
      <c r="AE46" s="20"/>
      <c r="AF46" s="95">
        <f t="shared" si="278"/>
        <v>0</v>
      </c>
      <c r="AG46" s="175"/>
      <c r="AH46" s="19"/>
      <c r="AI46" s="57"/>
      <c r="AJ46" s="20"/>
      <c r="AK46" s="176"/>
      <c r="AL46" s="175"/>
      <c r="AM46" s="19"/>
      <c r="AN46" s="57">
        <f t="shared" si="227"/>
        <v>0</v>
      </c>
      <c r="AO46" s="20">
        <v>0</v>
      </c>
      <c r="AP46" s="100">
        <f t="shared" si="279"/>
        <v>0</v>
      </c>
      <c r="AQ46" s="91"/>
      <c r="AR46" s="19"/>
      <c r="AS46" s="57">
        <f t="shared" si="317"/>
        <v>0</v>
      </c>
      <c r="AT46" s="20"/>
      <c r="AU46" s="100">
        <f t="shared" si="318"/>
        <v>0</v>
      </c>
      <c r="AV46" s="91"/>
      <c r="AW46" s="19"/>
      <c r="AX46" s="57">
        <f t="shared" si="319"/>
        <v>0</v>
      </c>
      <c r="AY46" s="20"/>
      <c r="AZ46" s="100">
        <f t="shared" si="280"/>
        <v>0</v>
      </c>
      <c r="BA46" s="190">
        <v>1875</v>
      </c>
      <c r="BB46" s="189">
        <v>2</v>
      </c>
      <c r="BC46" s="57">
        <f t="shared" ref="BC46:BC47" si="331">SUM(BA46*BB46)</f>
        <v>3750</v>
      </c>
      <c r="BD46" s="20">
        <v>0</v>
      </c>
      <c r="BE46" s="100">
        <f t="shared" si="321"/>
        <v>3750</v>
      </c>
      <c r="BF46" s="91"/>
      <c r="BG46" s="19"/>
      <c r="BH46" s="57">
        <f t="shared" si="322"/>
        <v>0</v>
      </c>
      <c r="BI46" s="20"/>
      <c r="BJ46" s="100">
        <f t="shared" si="281"/>
        <v>0</v>
      </c>
      <c r="BK46" s="91"/>
      <c r="BL46" s="19"/>
      <c r="BM46" s="57">
        <f t="shared" si="323"/>
        <v>0</v>
      </c>
      <c r="BN46" s="20"/>
      <c r="BO46" s="100">
        <f t="shared" si="282"/>
        <v>0</v>
      </c>
      <c r="BP46" s="91"/>
      <c r="BQ46" s="19"/>
      <c r="BR46" s="57">
        <f t="shared" si="324"/>
        <v>0</v>
      </c>
      <c r="BS46" s="20"/>
      <c r="BT46" s="100">
        <f t="shared" si="283"/>
        <v>0</v>
      </c>
      <c r="BU46" s="55"/>
      <c r="BV46" s="107">
        <f t="shared" si="284"/>
        <v>0</v>
      </c>
      <c r="BW46" s="91"/>
      <c r="BX46" s="19"/>
      <c r="BY46" s="57">
        <f t="shared" si="285"/>
        <v>0</v>
      </c>
      <c r="BZ46" s="20"/>
      <c r="CA46" s="95">
        <f t="shared" si="286"/>
        <v>0</v>
      </c>
      <c r="CB46" s="120"/>
      <c r="CC46" s="19"/>
      <c r="CD46" s="57">
        <f t="shared" si="325"/>
        <v>0</v>
      </c>
      <c r="CE46" s="20"/>
      <c r="CF46" s="95">
        <f t="shared" si="287"/>
        <v>0</v>
      </c>
      <c r="CG46" s="120"/>
      <c r="CH46" s="19"/>
      <c r="CI46" s="57">
        <f t="shared" si="326"/>
        <v>0</v>
      </c>
      <c r="CJ46" s="20"/>
      <c r="CK46" s="95">
        <f t="shared" si="288"/>
        <v>0</v>
      </c>
      <c r="CL46" s="120"/>
      <c r="CM46" s="19"/>
      <c r="CN46" s="57">
        <f t="shared" si="327"/>
        <v>0</v>
      </c>
      <c r="CO46" s="20"/>
      <c r="CP46" s="95">
        <f t="shared" si="289"/>
        <v>0</v>
      </c>
      <c r="CQ46" s="120"/>
      <c r="CR46" s="19"/>
      <c r="CS46" s="57">
        <f t="shared" si="328"/>
        <v>0</v>
      </c>
      <c r="CT46" s="20"/>
      <c r="CU46" s="95">
        <f t="shared" si="290"/>
        <v>0</v>
      </c>
      <c r="CV46" s="120"/>
      <c r="CW46" s="19"/>
      <c r="CX46" s="57">
        <f t="shared" si="291"/>
        <v>0</v>
      </c>
      <c r="CY46" s="20"/>
      <c r="CZ46" s="95">
        <f t="shared" si="292"/>
        <v>0</v>
      </c>
      <c r="DA46" s="120"/>
      <c r="DB46" s="19"/>
      <c r="DC46" s="57">
        <f t="shared" si="293"/>
        <v>0</v>
      </c>
      <c r="DD46" s="20"/>
      <c r="DE46" s="95">
        <f t="shared" si="294"/>
        <v>0</v>
      </c>
      <c r="DF46" s="91"/>
      <c r="DG46" s="19"/>
      <c r="DH46" s="57">
        <f t="shared" si="295"/>
        <v>0</v>
      </c>
      <c r="DI46" s="20"/>
      <c r="DJ46" s="100">
        <f t="shared" si="296"/>
        <v>0</v>
      </c>
      <c r="DK46" s="91"/>
      <c r="DL46" s="19"/>
      <c r="DM46" s="57">
        <f t="shared" si="297"/>
        <v>0</v>
      </c>
      <c r="DN46" s="20"/>
      <c r="DO46" s="100">
        <f t="shared" si="298"/>
        <v>0</v>
      </c>
      <c r="DP46" s="91"/>
      <c r="DQ46" s="19"/>
      <c r="DR46" s="57">
        <f t="shared" si="299"/>
        <v>0</v>
      </c>
      <c r="DS46" s="20"/>
      <c r="DT46" s="100">
        <f t="shared" si="300"/>
        <v>0</v>
      </c>
      <c r="DU46" s="91"/>
      <c r="DV46" s="19"/>
      <c r="DW46" s="57">
        <f t="shared" si="301"/>
        <v>0</v>
      </c>
      <c r="DX46" s="20"/>
      <c r="DY46" s="100">
        <f t="shared" si="302"/>
        <v>0</v>
      </c>
      <c r="DZ46" s="91"/>
      <c r="EA46" s="19"/>
      <c r="EB46" s="57">
        <f t="shared" si="303"/>
        <v>0</v>
      </c>
      <c r="EC46" s="20"/>
      <c r="ED46" s="100">
        <f t="shared" si="304"/>
        <v>0</v>
      </c>
      <c r="EE46" s="91"/>
      <c r="EF46" s="19"/>
      <c r="EG46" s="57">
        <f t="shared" si="305"/>
        <v>0</v>
      </c>
      <c r="EH46" s="20"/>
      <c r="EI46" s="100">
        <f t="shared" si="306"/>
        <v>0</v>
      </c>
      <c r="EJ46" s="91"/>
      <c r="EK46" s="19"/>
      <c r="EL46" s="57">
        <f t="shared" si="307"/>
        <v>0</v>
      </c>
      <c r="EM46" s="20"/>
      <c r="EN46" s="100">
        <f t="shared" si="308"/>
        <v>0</v>
      </c>
      <c r="EO46" s="91"/>
      <c r="EP46" s="19"/>
      <c r="EQ46" s="57">
        <f t="shared" si="309"/>
        <v>0</v>
      </c>
      <c r="ER46" s="20"/>
      <c r="ES46" s="100">
        <f t="shared" si="310"/>
        <v>0</v>
      </c>
      <c r="ET46" s="55"/>
      <c r="EU46" s="55"/>
    </row>
    <row r="47" spans="1:151" x14ac:dyDescent="0.25">
      <c r="A47" s="177" t="s">
        <v>131</v>
      </c>
      <c r="B47" s="107">
        <f t="shared" si="272"/>
        <v>18081</v>
      </c>
      <c r="C47" s="91"/>
      <c r="D47" s="19"/>
      <c r="E47" s="57">
        <f t="shared" si="273"/>
        <v>0</v>
      </c>
      <c r="F47" s="20"/>
      <c r="G47" s="95">
        <f t="shared" si="274"/>
        <v>0</v>
      </c>
      <c r="H47" s="120"/>
      <c r="I47" s="19"/>
      <c r="J47" s="57">
        <f t="shared" si="275"/>
        <v>0</v>
      </c>
      <c r="K47" s="20"/>
      <c r="L47" s="95">
        <f t="shared" si="276"/>
        <v>0</v>
      </c>
      <c r="M47" s="120"/>
      <c r="N47" s="19"/>
      <c r="O47" s="57">
        <f t="shared" si="311"/>
        <v>0</v>
      </c>
      <c r="P47" s="20"/>
      <c r="Q47" s="95">
        <f t="shared" si="312"/>
        <v>0</v>
      </c>
      <c r="R47" s="120"/>
      <c r="S47" s="19"/>
      <c r="T47" s="57">
        <f t="shared" si="313"/>
        <v>0</v>
      </c>
      <c r="U47" s="20"/>
      <c r="V47" s="95">
        <f t="shared" si="277"/>
        <v>0</v>
      </c>
      <c r="W47" s="120"/>
      <c r="X47" s="19"/>
      <c r="Y47" s="57">
        <f t="shared" si="314"/>
        <v>0</v>
      </c>
      <c r="Z47" s="20"/>
      <c r="AA47" s="95">
        <f t="shared" si="315"/>
        <v>0</v>
      </c>
      <c r="AB47" s="120"/>
      <c r="AC47" s="19"/>
      <c r="AD47" s="57">
        <f t="shared" si="316"/>
        <v>0</v>
      </c>
      <c r="AE47" s="20"/>
      <c r="AF47" s="95">
        <f t="shared" si="278"/>
        <v>0</v>
      </c>
      <c r="AG47" s="175"/>
      <c r="AH47" s="19"/>
      <c r="AI47" s="57"/>
      <c r="AJ47" s="20"/>
      <c r="AK47" s="176"/>
      <c r="AL47" s="190">
        <v>10045</v>
      </c>
      <c r="AM47" s="189">
        <v>1</v>
      </c>
      <c r="AN47" s="57">
        <f t="shared" si="227"/>
        <v>10045</v>
      </c>
      <c r="AO47" s="20">
        <v>0.1</v>
      </c>
      <c r="AP47" s="100">
        <f t="shared" si="279"/>
        <v>9040.5</v>
      </c>
      <c r="AQ47" s="91"/>
      <c r="AR47" s="19"/>
      <c r="AS47" s="57">
        <f t="shared" si="317"/>
        <v>0</v>
      </c>
      <c r="AT47" s="20"/>
      <c r="AU47" s="100">
        <f t="shared" si="318"/>
        <v>0</v>
      </c>
      <c r="AV47" s="91"/>
      <c r="AW47" s="19"/>
      <c r="AX47" s="57">
        <f t="shared" si="319"/>
        <v>0</v>
      </c>
      <c r="AY47" s="20"/>
      <c r="AZ47" s="100">
        <f t="shared" si="280"/>
        <v>0</v>
      </c>
      <c r="BA47" s="190">
        <v>10045</v>
      </c>
      <c r="BB47" s="189">
        <v>1</v>
      </c>
      <c r="BC47" s="57">
        <f t="shared" si="331"/>
        <v>10045</v>
      </c>
      <c r="BD47" s="20">
        <v>0.1</v>
      </c>
      <c r="BE47" s="100">
        <f t="shared" si="321"/>
        <v>9040.5</v>
      </c>
      <c r="BF47" s="91"/>
      <c r="BG47" s="19"/>
      <c r="BH47" s="57">
        <f t="shared" si="322"/>
        <v>0</v>
      </c>
      <c r="BI47" s="20"/>
      <c r="BJ47" s="100">
        <f t="shared" si="281"/>
        <v>0</v>
      </c>
      <c r="BK47" s="91"/>
      <c r="BL47" s="19"/>
      <c r="BM47" s="57">
        <f t="shared" si="323"/>
        <v>0</v>
      </c>
      <c r="BN47" s="20"/>
      <c r="BO47" s="100">
        <f t="shared" si="282"/>
        <v>0</v>
      </c>
      <c r="BP47" s="91"/>
      <c r="BQ47" s="19"/>
      <c r="BR47" s="57">
        <f t="shared" si="324"/>
        <v>0</v>
      </c>
      <c r="BS47" s="20"/>
      <c r="BT47" s="100">
        <f t="shared" si="283"/>
        <v>0</v>
      </c>
      <c r="BU47" s="55"/>
      <c r="BV47" s="107">
        <f t="shared" si="284"/>
        <v>0</v>
      </c>
      <c r="BW47" s="91"/>
      <c r="BX47" s="19"/>
      <c r="BY47" s="57">
        <f t="shared" si="285"/>
        <v>0</v>
      </c>
      <c r="BZ47" s="20"/>
      <c r="CA47" s="95">
        <f t="shared" si="286"/>
        <v>0</v>
      </c>
      <c r="CB47" s="120"/>
      <c r="CC47" s="19"/>
      <c r="CD47" s="57">
        <f t="shared" si="325"/>
        <v>0</v>
      </c>
      <c r="CE47" s="20"/>
      <c r="CF47" s="95">
        <f t="shared" si="287"/>
        <v>0</v>
      </c>
      <c r="CG47" s="120"/>
      <c r="CH47" s="19"/>
      <c r="CI47" s="57">
        <f t="shared" si="326"/>
        <v>0</v>
      </c>
      <c r="CJ47" s="20"/>
      <c r="CK47" s="95">
        <f t="shared" si="288"/>
        <v>0</v>
      </c>
      <c r="CL47" s="120"/>
      <c r="CM47" s="19"/>
      <c r="CN47" s="57">
        <f t="shared" si="327"/>
        <v>0</v>
      </c>
      <c r="CO47" s="20"/>
      <c r="CP47" s="95">
        <f t="shared" si="289"/>
        <v>0</v>
      </c>
      <c r="CQ47" s="120"/>
      <c r="CR47" s="19"/>
      <c r="CS47" s="57">
        <f t="shared" si="328"/>
        <v>0</v>
      </c>
      <c r="CT47" s="20"/>
      <c r="CU47" s="95">
        <f t="shared" si="290"/>
        <v>0</v>
      </c>
      <c r="CV47" s="120"/>
      <c r="CW47" s="19"/>
      <c r="CX47" s="57">
        <f t="shared" si="291"/>
        <v>0</v>
      </c>
      <c r="CY47" s="20"/>
      <c r="CZ47" s="95">
        <f t="shared" si="292"/>
        <v>0</v>
      </c>
      <c r="DA47" s="120"/>
      <c r="DB47" s="19"/>
      <c r="DC47" s="57">
        <f t="shared" si="293"/>
        <v>0</v>
      </c>
      <c r="DD47" s="20"/>
      <c r="DE47" s="95">
        <f t="shared" si="294"/>
        <v>0</v>
      </c>
      <c r="DF47" s="91"/>
      <c r="DG47" s="19"/>
      <c r="DH47" s="57">
        <f t="shared" si="295"/>
        <v>0</v>
      </c>
      <c r="DI47" s="20"/>
      <c r="DJ47" s="100">
        <f t="shared" si="296"/>
        <v>0</v>
      </c>
      <c r="DK47" s="91"/>
      <c r="DL47" s="19"/>
      <c r="DM47" s="57">
        <f t="shared" si="297"/>
        <v>0</v>
      </c>
      <c r="DN47" s="20"/>
      <c r="DO47" s="100">
        <f t="shared" si="298"/>
        <v>0</v>
      </c>
      <c r="DP47" s="91"/>
      <c r="DQ47" s="19"/>
      <c r="DR47" s="57">
        <f t="shared" si="299"/>
        <v>0</v>
      </c>
      <c r="DS47" s="20"/>
      <c r="DT47" s="100">
        <f t="shared" si="300"/>
        <v>0</v>
      </c>
      <c r="DU47" s="91"/>
      <c r="DV47" s="19"/>
      <c r="DW47" s="57">
        <f t="shared" si="301"/>
        <v>0</v>
      </c>
      <c r="DX47" s="20"/>
      <c r="DY47" s="100">
        <f t="shared" si="302"/>
        <v>0</v>
      </c>
      <c r="DZ47" s="91"/>
      <c r="EA47" s="19"/>
      <c r="EB47" s="57">
        <f t="shared" si="303"/>
        <v>0</v>
      </c>
      <c r="EC47" s="20"/>
      <c r="ED47" s="100">
        <f t="shared" si="304"/>
        <v>0</v>
      </c>
      <c r="EE47" s="91"/>
      <c r="EF47" s="19"/>
      <c r="EG47" s="57">
        <f t="shared" si="305"/>
        <v>0</v>
      </c>
      <c r="EH47" s="20"/>
      <c r="EI47" s="100">
        <f t="shared" si="306"/>
        <v>0</v>
      </c>
      <c r="EJ47" s="91"/>
      <c r="EK47" s="19"/>
      <c r="EL47" s="57">
        <f t="shared" si="307"/>
        <v>0</v>
      </c>
      <c r="EM47" s="20"/>
      <c r="EN47" s="100">
        <f t="shared" si="308"/>
        <v>0</v>
      </c>
      <c r="EO47" s="91"/>
      <c r="EP47" s="19"/>
      <c r="EQ47" s="57">
        <f t="shared" si="309"/>
        <v>0</v>
      </c>
      <c r="ER47" s="20"/>
      <c r="ES47" s="100">
        <f t="shared" si="310"/>
        <v>0</v>
      </c>
      <c r="ET47" s="55"/>
      <c r="EU47" s="55"/>
    </row>
    <row r="48" spans="1:151" x14ac:dyDescent="0.25">
      <c r="A48" s="177" t="s">
        <v>132</v>
      </c>
      <c r="B48" s="107">
        <f t="shared" si="212"/>
        <v>5770</v>
      </c>
      <c r="C48" s="91"/>
      <c r="D48" s="19"/>
      <c r="E48" s="57">
        <f t="shared" si="213"/>
        <v>0</v>
      </c>
      <c r="F48" s="20"/>
      <c r="G48" s="95">
        <f t="shared" si="214"/>
        <v>0</v>
      </c>
      <c r="H48" s="120"/>
      <c r="I48" s="19"/>
      <c r="J48" s="57">
        <f t="shared" si="215"/>
        <v>0</v>
      </c>
      <c r="K48" s="20"/>
      <c r="L48" s="95">
        <f t="shared" si="216"/>
        <v>0</v>
      </c>
      <c r="M48" s="120"/>
      <c r="N48" s="19"/>
      <c r="O48" s="57">
        <f t="shared" si="217"/>
        <v>0</v>
      </c>
      <c r="P48" s="20"/>
      <c r="Q48" s="95">
        <f t="shared" si="218"/>
        <v>0</v>
      </c>
      <c r="R48" s="120"/>
      <c r="S48" s="19"/>
      <c r="T48" s="57">
        <f t="shared" si="219"/>
        <v>0</v>
      </c>
      <c r="U48" s="20"/>
      <c r="V48" s="95">
        <f t="shared" si="220"/>
        <v>0</v>
      </c>
      <c r="W48" s="120"/>
      <c r="X48" s="19"/>
      <c r="Y48" s="57">
        <f t="shared" si="221"/>
        <v>0</v>
      </c>
      <c r="Z48" s="20"/>
      <c r="AA48" s="95">
        <f t="shared" si="222"/>
        <v>0</v>
      </c>
      <c r="AB48" s="120"/>
      <c r="AC48" s="19"/>
      <c r="AD48" s="57">
        <f t="shared" si="223"/>
        <v>0</v>
      </c>
      <c r="AE48" s="20"/>
      <c r="AF48" s="95">
        <f t="shared" si="224"/>
        <v>0</v>
      </c>
      <c r="AG48" s="175">
        <v>2885</v>
      </c>
      <c r="AH48" s="19">
        <v>1</v>
      </c>
      <c r="AI48" s="57">
        <f t="shared" si="225"/>
        <v>2885</v>
      </c>
      <c r="AJ48" s="20">
        <v>0</v>
      </c>
      <c r="AK48" s="176">
        <f t="shared" si="226"/>
        <v>2885</v>
      </c>
      <c r="AL48" s="175">
        <v>2885</v>
      </c>
      <c r="AM48" s="19">
        <v>1</v>
      </c>
      <c r="AN48" s="57">
        <f t="shared" si="227"/>
        <v>2885</v>
      </c>
      <c r="AO48" s="20">
        <v>0</v>
      </c>
      <c r="AP48" s="100">
        <f t="shared" si="228"/>
        <v>2885</v>
      </c>
      <c r="AQ48" s="91"/>
      <c r="AR48" s="19"/>
      <c r="AS48" s="57">
        <f t="shared" si="229"/>
        <v>0</v>
      </c>
      <c r="AT48" s="20"/>
      <c r="AU48" s="100">
        <f t="shared" si="230"/>
        <v>0</v>
      </c>
      <c r="AV48" s="91"/>
      <c r="AW48" s="19"/>
      <c r="AX48" s="57">
        <f t="shared" si="231"/>
        <v>0</v>
      </c>
      <c r="AY48" s="20"/>
      <c r="AZ48" s="100">
        <f t="shared" si="232"/>
        <v>0</v>
      </c>
      <c r="BA48" s="91"/>
      <c r="BB48" s="19"/>
      <c r="BC48" s="57">
        <f t="shared" si="233"/>
        <v>0</v>
      </c>
      <c r="BD48" s="20"/>
      <c r="BE48" s="100">
        <f t="shared" si="234"/>
        <v>0</v>
      </c>
      <c r="BF48" s="91"/>
      <c r="BG48" s="19"/>
      <c r="BH48" s="57">
        <f t="shared" si="235"/>
        <v>0</v>
      </c>
      <c r="BI48" s="20"/>
      <c r="BJ48" s="100">
        <f t="shared" si="236"/>
        <v>0</v>
      </c>
      <c r="BK48" s="91"/>
      <c r="BL48" s="19"/>
      <c r="BM48" s="57">
        <f t="shared" si="237"/>
        <v>0</v>
      </c>
      <c r="BN48" s="20"/>
      <c r="BO48" s="100">
        <f t="shared" si="238"/>
        <v>0</v>
      </c>
      <c r="BP48" s="91"/>
      <c r="BQ48" s="19"/>
      <c r="BR48" s="57">
        <f t="shared" si="239"/>
        <v>0</v>
      </c>
      <c r="BS48" s="20"/>
      <c r="BT48" s="100">
        <f t="shared" si="240"/>
        <v>0</v>
      </c>
      <c r="BU48" s="55"/>
      <c r="BV48" s="107">
        <f t="shared" si="271"/>
        <v>0</v>
      </c>
      <c r="BW48" s="91"/>
      <c r="BX48" s="19"/>
      <c r="BY48" s="57">
        <f t="shared" si="241"/>
        <v>0</v>
      </c>
      <c r="BZ48" s="20"/>
      <c r="CA48" s="95">
        <f t="shared" si="242"/>
        <v>0</v>
      </c>
      <c r="CB48" s="120"/>
      <c r="CC48" s="19"/>
      <c r="CD48" s="57">
        <f t="shared" ref="CD48:CD50" si="332">SUM(CB48*CC48)</f>
        <v>0</v>
      </c>
      <c r="CE48" s="20"/>
      <c r="CF48" s="95">
        <f t="shared" si="244"/>
        <v>0</v>
      </c>
      <c r="CG48" s="120"/>
      <c r="CH48" s="19"/>
      <c r="CI48" s="57">
        <f t="shared" ref="CI48:CI50" si="333">SUM(CG48*CH48)</f>
        <v>0</v>
      </c>
      <c r="CJ48" s="20"/>
      <c r="CK48" s="95">
        <f t="shared" si="246"/>
        <v>0</v>
      </c>
      <c r="CL48" s="120"/>
      <c r="CM48" s="19"/>
      <c r="CN48" s="57">
        <f t="shared" ref="CN48:CN50" si="334">SUM(CL48*CM48)</f>
        <v>0</v>
      </c>
      <c r="CO48" s="20"/>
      <c r="CP48" s="95">
        <f t="shared" si="248"/>
        <v>0</v>
      </c>
      <c r="CQ48" s="120"/>
      <c r="CR48" s="19"/>
      <c r="CS48" s="57">
        <f t="shared" si="328"/>
        <v>0</v>
      </c>
      <c r="CT48" s="20"/>
      <c r="CU48" s="95">
        <f t="shared" si="250"/>
        <v>0</v>
      </c>
      <c r="CV48" s="120"/>
      <c r="CW48" s="19"/>
      <c r="CX48" s="57">
        <f t="shared" si="251"/>
        <v>0</v>
      </c>
      <c r="CY48" s="20"/>
      <c r="CZ48" s="95">
        <f t="shared" si="252"/>
        <v>0</v>
      </c>
      <c r="DA48" s="120"/>
      <c r="DB48" s="19"/>
      <c r="DC48" s="57">
        <f t="shared" si="253"/>
        <v>0</v>
      </c>
      <c r="DD48" s="20"/>
      <c r="DE48" s="95">
        <f t="shared" si="254"/>
        <v>0</v>
      </c>
      <c r="DF48" s="91"/>
      <c r="DG48" s="19"/>
      <c r="DH48" s="57">
        <f t="shared" si="255"/>
        <v>0</v>
      </c>
      <c r="DI48" s="20"/>
      <c r="DJ48" s="100">
        <f t="shared" si="256"/>
        <v>0</v>
      </c>
      <c r="DK48" s="91"/>
      <c r="DL48" s="19"/>
      <c r="DM48" s="57">
        <f t="shared" si="257"/>
        <v>0</v>
      </c>
      <c r="DN48" s="20"/>
      <c r="DO48" s="100">
        <f t="shared" si="258"/>
        <v>0</v>
      </c>
      <c r="DP48" s="91"/>
      <c r="DQ48" s="19"/>
      <c r="DR48" s="57">
        <f t="shared" si="259"/>
        <v>0</v>
      </c>
      <c r="DS48" s="20"/>
      <c r="DT48" s="100">
        <f t="shared" si="260"/>
        <v>0</v>
      </c>
      <c r="DU48" s="91"/>
      <c r="DV48" s="19"/>
      <c r="DW48" s="57">
        <f t="shared" si="261"/>
        <v>0</v>
      </c>
      <c r="DX48" s="20"/>
      <c r="DY48" s="100">
        <f t="shared" si="262"/>
        <v>0</v>
      </c>
      <c r="DZ48" s="91"/>
      <c r="EA48" s="19"/>
      <c r="EB48" s="57">
        <f t="shared" si="263"/>
        <v>0</v>
      </c>
      <c r="EC48" s="20"/>
      <c r="ED48" s="100">
        <f t="shared" si="264"/>
        <v>0</v>
      </c>
      <c r="EE48" s="91"/>
      <c r="EF48" s="19"/>
      <c r="EG48" s="57">
        <f t="shared" si="265"/>
        <v>0</v>
      </c>
      <c r="EH48" s="20"/>
      <c r="EI48" s="100">
        <f t="shared" si="266"/>
        <v>0</v>
      </c>
      <c r="EJ48" s="91"/>
      <c r="EK48" s="19"/>
      <c r="EL48" s="57">
        <f t="shared" si="267"/>
        <v>0</v>
      </c>
      <c r="EM48" s="20"/>
      <c r="EN48" s="100">
        <f t="shared" si="268"/>
        <v>0</v>
      </c>
      <c r="EO48" s="91"/>
      <c r="EP48" s="19"/>
      <c r="EQ48" s="57">
        <f t="shared" si="269"/>
        <v>0</v>
      </c>
      <c r="ER48" s="20"/>
      <c r="ES48" s="100">
        <f t="shared" si="270"/>
        <v>0</v>
      </c>
      <c r="ET48" s="55"/>
      <c r="EU48" s="55"/>
    </row>
    <row r="49" spans="1:151" x14ac:dyDescent="0.25">
      <c r="A49" s="186" t="s">
        <v>133</v>
      </c>
      <c r="B49" s="107">
        <f t="shared" si="212"/>
        <v>15787.5</v>
      </c>
      <c r="C49" s="91"/>
      <c r="D49" s="19"/>
      <c r="E49" s="57"/>
      <c r="F49" s="20"/>
      <c r="G49" s="95"/>
      <c r="H49" s="120"/>
      <c r="I49" s="19"/>
      <c r="J49" s="57"/>
      <c r="K49" s="20"/>
      <c r="L49" s="95"/>
      <c r="M49" s="120"/>
      <c r="N49" s="19"/>
      <c r="O49" s="57"/>
      <c r="P49" s="20"/>
      <c r="Q49" s="95"/>
      <c r="R49" s="120"/>
      <c r="S49" s="19"/>
      <c r="T49" s="57"/>
      <c r="U49" s="20"/>
      <c r="V49" s="95"/>
      <c r="W49" s="120"/>
      <c r="X49" s="19"/>
      <c r="Y49" s="57"/>
      <c r="Z49" s="20"/>
      <c r="AA49" s="95"/>
      <c r="AB49" s="192">
        <v>7893.75</v>
      </c>
      <c r="AC49" s="189">
        <v>2</v>
      </c>
      <c r="AD49" s="57">
        <f t="shared" ref="AD49" si="335">SUM(AB49*AC49)</f>
        <v>15787.5</v>
      </c>
      <c r="AE49" s="20"/>
      <c r="AF49" s="95">
        <f t="shared" ref="AF49" si="336">AD49-AD49*AE49</f>
        <v>15787.5</v>
      </c>
      <c r="AG49" s="91"/>
      <c r="AH49" s="19"/>
      <c r="AI49" s="57"/>
      <c r="AJ49" s="20"/>
      <c r="AK49" s="203"/>
      <c r="AL49" s="91"/>
      <c r="AM49" s="19"/>
      <c r="AN49" s="57"/>
      <c r="AO49" s="20"/>
      <c r="AP49" s="100"/>
      <c r="AQ49" s="91"/>
      <c r="AR49" s="19"/>
      <c r="AS49" s="57"/>
      <c r="AT49" s="20"/>
      <c r="AU49" s="100"/>
      <c r="AV49" s="91"/>
      <c r="AW49" s="19"/>
      <c r="AX49" s="57"/>
      <c r="AY49" s="20"/>
      <c r="AZ49" s="100"/>
      <c r="BA49" s="91"/>
      <c r="BB49" s="19"/>
      <c r="BC49" s="57"/>
      <c r="BD49" s="20"/>
      <c r="BE49" s="100"/>
      <c r="BF49" s="91"/>
      <c r="BG49" s="19"/>
      <c r="BH49" s="57"/>
      <c r="BI49" s="20"/>
      <c r="BJ49" s="100"/>
      <c r="BK49" s="91"/>
      <c r="BL49" s="19"/>
      <c r="BM49" s="57"/>
      <c r="BN49" s="20"/>
      <c r="BO49" s="100"/>
      <c r="BP49" s="91"/>
      <c r="BQ49" s="19"/>
      <c r="BR49" s="57"/>
      <c r="BS49" s="20"/>
      <c r="BT49" s="100"/>
      <c r="BU49" s="55"/>
      <c r="BV49" s="107"/>
      <c r="BW49" s="91"/>
      <c r="BX49" s="19"/>
      <c r="BY49" s="57"/>
      <c r="BZ49" s="20"/>
      <c r="CA49" s="95"/>
      <c r="CB49" s="120"/>
      <c r="CC49" s="19"/>
      <c r="CD49" s="57"/>
      <c r="CE49" s="20"/>
      <c r="CF49" s="95"/>
      <c r="CG49" s="120"/>
      <c r="CH49" s="19"/>
      <c r="CI49" s="57"/>
      <c r="CJ49" s="20"/>
      <c r="CK49" s="95"/>
      <c r="CL49" s="120"/>
      <c r="CM49" s="19"/>
      <c r="CN49" s="57"/>
      <c r="CO49" s="20"/>
      <c r="CP49" s="95"/>
      <c r="CQ49" s="120"/>
      <c r="CR49" s="19"/>
      <c r="CS49" s="57"/>
      <c r="CT49" s="20"/>
      <c r="CU49" s="95"/>
      <c r="CV49" s="120"/>
      <c r="CW49" s="19"/>
      <c r="CX49" s="57"/>
      <c r="CY49" s="20"/>
      <c r="CZ49" s="95"/>
      <c r="DA49" s="120"/>
      <c r="DB49" s="19"/>
      <c r="DC49" s="57"/>
      <c r="DD49" s="20"/>
      <c r="DE49" s="95"/>
      <c r="DF49" s="91"/>
      <c r="DG49" s="19"/>
      <c r="DH49" s="57"/>
      <c r="DI49" s="20"/>
      <c r="DJ49" s="100"/>
      <c r="DK49" s="91"/>
      <c r="DL49" s="19"/>
      <c r="DM49" s="57"/>
      <c r="DN49" s="20"/>
      <c r="DO49" s="100"/>
      <c r="DP49" s="91"/>
      <c r="DQ49" s="19"/>
      <c r="DR49" s="57"/>
      <c r="DS49" s="20"/>
      <c r="DT49" s="100"/>
      <c r="DU49" s="91"/>
      <c r="DV49" s="19"/>
      <c r="DW49" s="57"/>
      <c r="DX49" s="20"/>
      <c r="DY49" s="100"/>
      <c r="DZ49" s="91"/>
      <c r="EA49" s="19"/>
      <c r="EB49" s="57"/>
      <c r="EC49" s="20"/>
      <c r="ED49" s="100"/>
      <c r="EE49" s="91"/>
      <c r="EF49" s="19"/>
      <c r="EG49" s="57"/>
      <c r="EH49" s="20"/>
      <c r="EI49" s="100"/>
      <c r="EJ49" s="91"/>
      <c r="EK49" s="19"/>
      <c r="EL49" s="57"/>
      <c r="EM49" s="20"/>
      <c r="EN49" s="100"/>
      <c r="EO49" s="91"/>
      <c r="EP49" s="19"/>
      <c r="EQ49" s="57"/>
      <c r="ER49" s="20"/>
      <c r="ES49" s="100"/>
      <c r="ET49" s="55"/>
      <c r="EU49" s="55"/>
    </row>
    <row r="50" spans="1:151" x14ac:dyDescent="0.25">
      <c r="A50" s="186" t="s">
        <v>134</v>
      </c>
      <c r="B50" s="107">
        <f t="shared" si="212"/>
        <v>0</v>
      </c>
      <c r="C50" s="91"/>
      <c r="D50" s="19"/>
      <c r="E50" s="57">
        <f t="shared" si="213"/>
        <v>0</v>
      </c>
      <c r="F50" s="20"/>
      <c r="G50" s="95">
        <f t="shared" si="214"/>
        <v>0</v>
      </c>
      <c r="H50" s="120"/>
      <c r="I50" s="19"/>
      <c r="J50" s="57">
        <f t="shared" si="215"/>
        <v>0</v>
      </c>
      <c r="K50" s="20"/>
      <c r="L50" s="95">
        <f t="shared" si="216"/>
        <v>0</v>
      </c>
      <c r="M50" s="120"/>
      <c r="N50" s="19"/>
      <c r="O50" s="57">
        <f t="shared" si="217"/>
        <v>0</v>
      </c>
      <c r="P50" s="20"/>
      <c r="Q50" s="95">
        <f t="shared" si="218"/>
        <v>0</v>
      </c>
      <c r="R50" s="120"/>
      <c r="S50" s="19"/>
      <c r="T50" s="57">
        <f t="shared" si="219"/>
        <v>0</v>
      </c>
      <c r="U50" s="20"/>
      <c r="V50" s="95">
        <f t="shared" si="220"/>
        <v>0</v>
      </c>
      <c r="W50" s="120"/>
      <c r="X50" s="19"/>
      <c r="Y50" s="57">
        <f t="shared" si="221"/>
        <v>0</v>
      </c>
      <c r="Z50" s="20"/>
      <c r="AA50" s="95">
        <f t="shared" si="222"/>
        <v>0</v>
      </c>
      <c r="AB50" s="120"/>
      <c r="AC50" s="19"/>
      <c r="AD50" s="57">
        <f t="shared" si="223"/>
        <v>0</v>
      </c>
      <c r="AE50" s="20"/>
      <c r="AF50" s="95">
        <f t="shared" si="224"/>
        <v>0</v>
      </c>
      <c r="AG50" s="120"/>
      <c r="AH50" s="19"/>
      <c r="AI50" s="57">
        <f t="shared" si="225"/>
        <v>0</v>
      </c>
      <c r="AJ50" s="20"/>
      <c r="AK50" s="95">
        <f t="shared" si="226"/>
        <v>0</v>
      </c>
      <c r="AL50" s="91"/>
      <c r="AM50" s="19"/>
      <c r="AN50" s="57">
        <f t="shared" si="227"/>
        <v>0</v>
      </c>
      <c r="AO50" s="20"/>
      <c r="AP50" s="100">
        <f t="shared" si="228"/>
        <v>0</v>
      </c>
      <c r="AQ50" s="91"/>
      <c r="AR50" s="19"/>
      <c r="AS50" s="57">
        <f t="shared" si="229"/>
        <v>0</v>
      </c>
      <c r="AT50" s="20"/>
      <c r="AU50" s="100">
        <f t="shared" si="230"/>
        <v>0</v>
      </c>
      <c r="AV50" s="91"/>
      <c r="AW50" s="19"/>
      <c r="AX50" s="57">
        <f t="shared" si="231"/>
        <v>0</v>
      </c>
      <c r="AY50" s="20"/>
      <c r="AZ50" s="100">
        <f t="shared" si="232"/>
        <v>0</v>
      </c>
      <c r="BA50" s="91"/>
      <c r="BB50" s="19"/>
      <c r="BC50" s="57">
        <f t="shared" si="233"/>
        <v>0</v>
      </c>
      <c r="BD50" s="20"/>
      <c r="BE50" s="100">
        <f t="shared" si="234"/>
        <v>0</v>
      </c>
      <c r="BF50" s="91"/>
      <c r="BG50" s="19"/>
      <c r="BH50" s="57">
        <f t="shared" si="235"/>
        <v>0</v>
      </c>
      <c r="BI50" s="20">
        <v>0</v>
      </c>
      <c r="BJ50" s="100">
        <f t="shared" si="236"/>
        <v>0</v>
      </c>
      <c r="BK50" s="91"/>
      <c r="BL50" s="19"/>
      <c r="BM50" s="57">
        <f t="shared" si="237"/>
        <v>0</v>
      </c>
      <c r="BN50" s="20"/>
      <c r="BO50" s="100">
        <f t="shared" si="238"/>
        <v>0</v>
      </c>
      <c r="BP50" s="91"/>
      <c r="BQ50" s="19"/>
      <c r="BR50" s="57">
        <f t="shared" si="239"/>
        <v>0</v>
      </c>
      <c r="BS50" s="20"/>
      <c r="BT50" s="100">
        <f t="shared" si="240"/>
        <v>0</v>
      </c>
      <c r="BU50" s="55"/>
      <c r="BV50" s="107">
        <f t="shared" si="271"/>
        <v>0</v>
      </c>
      <c r="BW50" s="91"/>
      <c r="BX50" s="19"/>
      <c r="BY50" s="57">
        <f t="shared" si="241"/>
        <v>0</v>
      </c>
      <c r="BZ50" s="20"/>
      <c r="CA50" s="95">
        <f t="shared" si="242"/>
        <v>0</v>
      </c>
      <c r="CB50" s="120"/>
      <c r="CC50" s="19"/>
      <c r="CD50" s="57">
        <f t="shared" si="332"/>
        <v>0</v>
      </c>
      <c r="CE50" s="20"/>
      <c r="CF50" s="95">
        <f t="shared" si="244"/>
        <v>0</v>
      </c>
      <c r="CG50" s="120"/>
      <c r="CH50" s="19"/>
      <c r="CI50" s="57">
        <f t="shared" si="333"/>
        <v>0</v>
      </c>
      <c r="CJ50" s="20"/>
      <c r="CK50" s="95">
        <f t="shared" si="246"/>
        <v>0</v>
      </c>
      <c r="CL50" s="120"/>
      <c r="CM50" s="19"/>
      <c r="CN50" s="57">
        <f t="shared" si="334"/>
        <v>0</v>
      </c>
      <c r="CO50" s="20"/>
      <c r="CP50" s="95">
        <f t="shared" si="248"/>
        <v>0</v>
      </c>
      <c r="CQ50" s="120"/>
      <c r="CR50" s="19"/>
      <c r="CS50" s="57">
        <f t="shared" si="328"/>
        <v>0</v>
      </c>
      <c r="CT50" s="20"/>
      <c r="CU50" s="95">
        <f t="shared" si="250"/>
        <v>0</v>
      </c>
      <c r="CV50" s="120"/>
      <c r="CW50" s="19"/>
      <c r="CX50" s="57">
        <f t="shared" si="251"/>
        <v>0</v>
      </c>
      <c r="CY50" s="20"/>
      <c r="CZ50" s="95">
        <f t="shared" si="252"/>
        <v>0</v>
      </c>
      <c r="DA50" s="120"/>
      <c r="DB50" s="19"/>
      <c r="DC50" s="57">
        <f t="shared" si="253"/>
        <v>0</v>
      </c>
      <c r="DD50" s="20"/>
      <c r="DE50" s="95">
        <f t="shared" si="254"/>
        <v>0</v>
      </c>
      <c r="DF50" s="91"/>
      <c r="DG50" s="19"/>
      <c r="DH50" s="57">
        <f t="shared" si="255"/>
        <v>0</v>
      </c>
      <c r="DI50" s="20"/>
      <c r="DJ50" s="100">
        <f t="shared" si="256"/>
        <v>0</v>
      </c>
      <c r="DK50" s="91"/>
      <c r="DL50" s="19"/>
      <c r="DM50" s="57">
        <f t="shared" si="257"/>
        <v>0</v>
      </c>
      <c r="DN50" s="20"/>
      <c r="DO50" s="100">
        <f t="shared" si="258"/>
        <v>0</v>
      </c>
      <c r="DP50" s="91"/>
      <c r="DQ50" s="19"/>
      <c r="DR50" s="57">
        <f t="shared" si="259"/>
        <v>0</v>
      </c>
      <c r="DS50" s="20"/>
      <c r="DT50" s="100">
        <f t="shared" si="260"/>
        <v>0</v>
      </c>
      <c r="DU50" s="91"/>
      <c r="DV50" s="19"/>
      <c r="DW50" s="57">
        <f t="shared" si="261"/>
        <v>0</v>
      </c>
      <c r="DX50" s="20"/>
      <c r="DY50" s="100">
        <f t="shared" si="262"/>
        <v>0</v>
      </c>
      <c r="DZ50" s="91"/>
      <c r="EA50" s="19"/>
      <c r="EB50" s="57">
        <f t="shared" si="263"/>
        <v>0</v>
      </c>
      <c r="EC50" s="20"/>
      <c r="ED50" s="100">
        <f t="shared" si="264"/>
        <v>0</v>
      </c>
      <c r="EE50" s="91"/>
      <c r="EF50" s="19"/>
      <c r="EG50" s="57">
        <f t="shared" si="265"/>
        <v>0</v>
      </c>
      <c r="EH50" s="20"/>
      <c r="EI50" s="100">
        <f t="shared" si="266"/>
        <v>0</v>
      </c>
      <c r="EJ50" s="91"/>
      <c r="EK50" s="19"/>
      <c r="EL50" s="57">
        <f t="shared" si="267"/>
        <v>0</v>
      </c>
      <c r="EM50" s="20"/>
      <c r="EN50" s="100">
        <f t="shared" si="268"/>
        <v>0</v>
      </c>
      <c r="EO50" s="91"/>
      <c r="EP50" s="19"/>
      <c r="EQ50" s="57">
        <f t="shared" si="269"/>
        <v>0</v>
      </c>
      <c r="ER50" s="20"/>
      <c r="ES50" s="100">
        <f t="shared" si="270"/>
        <v>0</v>
      </c>
      <c r="ET50" s="55"/>
      <c r="EU50" s="55"/>
    </row>
    <row r="51" spans="1:151" x14ac:dyDescent="0.25">
      <c r="A51" s="53" t="s">
        <v>107</v>
      </c>
      <c r="B51" s="108">
        <f>SUM(B33:B50)</f>
        <v>341811.20000000001</v>
      </c>
      <c r="C51" s="92"/>
      <c r="D51" s="54"/>
      <c r="E51" s="82"/>
      <c r="F51" s="17"/>
      <c r="G51" s="96">
        <f>SUM(G33:G50)</f>
        <v>0</v>
      </c>
      <c r="H51" s="121"/>
      <c r="I51" s="54"/>
      <c r="J51" s="82"/>
      <c r="K51" s="17"/>
      <c r="L51" s="96">
        <f>SUM(L33:L50)</f>
        <v>0</v>
      </c>
      <c r="M51" s="121"/>
      <c r="N51" s="54"/>
      <c r="O51" s="82"/>
      <c r="P51" s="17"/>
      <c r="Q51" s="96">
        <f>SUM(Q33:Q50)</f>
        <v>21871.8</v>
      </c>
      <c r="R51" s="121"/>
      <c r="S51" s="54"/>
      <c r="T51" s="82"/>
      <c r="U51" s="17"/>
      <c r="V51" s="96">
        <f>SUM(V33:V50)</f>
        <v>24283.05</v>
      </c>
      <c r="W51" s="121"/>
      <c r="X51" s="54"/>
      <c r="Y51" s="82"/>
      <c r="Z51" s="17"/>
      <c r="AA51" s="96">
        <f>SUM(AA33:AA50)</f>
        <v>34799.9</v>
      </c>
      <c r="AB51" s="121"/>
      <c r="AC51" s="54"/>
      <c r="AD51" s="82"/>
      <c r="AE51" s="17"/>
      <c r="AF51" s="96">
        <f>SUM(AF33:AF50)</f>
        <v>36145.025000000001</v>
      </c>
      <c r="AG51" s="121"/>
      <c r="AH51" s="54"/>
      <c r="AI51" s="82"/>
      <c r="AJ51" s="17"/>
      <c r="AK51" s="96">
        <f>SUM(AK33:AK50)</f>
        <v>35068.25</v>
      </c>
      <c r="AL51" s="92"/>
      <c r="AM51" s="54"/>
      <c r="AN51" s="82"/>
      <c r="AO51" s="17"/>
      <c r="AP51" s="96">
        <f>SUM(AP33:AP50)</f>
        <v>58407.25</v>
      </c>
      <c r="AQ51" s="92"/>
      <c r="AR51" s="54"/>
      <c r="AS51" s="82"/>
      <c r="AT51" s="17"/>
      <c r="AU51" s="96">
        <f>SUM(AU33:AU50)</f>
        <v>25332.1</v>
      </c>
      <c r="AV51" s="92"/>
      <c r="AW51" s="54"/>
      <c r="AX51" s="82"/>
      <c r="AY51" s="17"/>
      <c r="AZ51" s="96">
        <f>SUM(AZ33:AZ50)</f>
        <v>25587.599999999999</v>
      </c>
      <c r="BA51" s="92"/>
      <c r="BB51" s="54"/>
      <c r="BC51" s="82"/>
      <c r="BD51" s="17"/>
      <c r="BE51" s="96">
        <f>SUM(BE33:BE50)</f>
        <v>49113</v>
      </c>
      <c r="BF51" s="92"/>
      <c r="BG51" s="54"/>
      <c r="BH51" s="82"/>
      <c r="BI51" s="17"/>
      <c r="BJ51" s="96">
        <f>SUM(BJ33:BJ50)</f>
        <v>21412.724999999999</v>
      </c>
      <c r="BK51" s="92"/>
      <c r="BL51" s="54"/>
      <c r="BM51" s="82"/>
      <c r="BN51" s="17"/>
      <c r="BO51" s="96">
        <f>SUM(BO33:BO50)</f>
        <v>0</v>
      </c>
      <c r="BP51" s="92"/>
      <c r="BQ51" s="54"/>
      <c r="BR51" s="82"/>
      <c r="BS51" s="17"/>
      <c r="BT51" s="96">
        <f>SUM(BT33:BT50)</f>
        <v>9790.5</v>
      </c>
      <c r="BU51" s="55"/>
      <c r="BV51" s="108">
        <f>SUM(BV33:BV50)</f>
        <v>109583.75</v>
      </c>
      <c r="BW51" s="92"/>
      <c r="BX51" s="54"/>
      <c r="BY51" s="82"/>
      <c r="BZ51" s="17"/>
      <c r="CA51" s="96">
        <f>SUM(CA33:CA50)</f>
        <v>19821.424999999999</v>
      </c>
      <c r="CB51" s="121"/>
      <c r="CC51" s="54"/>
      <c r="CD51" s="82"/>
      <c r="CE51" s="17"/>
      <c r="CF51" s="96">
        <f>SUM(CF33:CF50)</f>
        <v>17188.924999999999</v>
      </c>
      <c r="CG51" s="121"/>
      <c r="CH51" s="54"/>
      <c r="CI51" s="82"/>
      <c r="CJ51" s="17"/>
      <c r="CK51" s="96">
        <f>SUM(CK33:CK50)</f>
        <v>18992.45</v>
      </c>
      <c r="CL51" s="121"/>
      <c r="CM51" s="54"/>
      <c r="CN51" s="82"/>
      <c r="CO51" s="17"/>
      <c r="CP51" s="96">
        <f>SUM(CP33:CP50)</f>
        <v>20984.05</v>
      </c>
      <c r="CQ51" s="121"/>
      <c r="CR51" s="54"/>
      <c r="CS51" s="82"/>
      <c r="CT51" s="17"/>
      <c r="CU51" s="96">
        <f>SUM(CU33:CU50)</f>
        <v>32596.9</v>
      </c>
      <c r="CV51" s="121"/>
      <c r="CW51" s="54"/>
      <c r="CX51" s="82"/>
      <c r="CY51" s="17"/>
      <c r="CZ51" s="96">
        <f>SUM(CZ33:CZ50)</f>
        <v>0</v>
      </c>
      <c r="DA51" s="121"/>
      <c r="DB51" s="54"/>
      <c r="DC51" s="82"/>
      <c r="DD51" s="17"/>
      <c r="DE51" s="96">
        <f>SUM(DE33:DE50)</f>
        <v>0</v>
      </c>
      <c r="DF51" s="92"/>
      <c r="DG51" s="54"/>
      <c r="DH51" s="82"/>
      <c r="DI51" s="17"/>
      <c r="DJ51" s="96">
        <f>SUM(DJ33:DJ50)</f>
        <v>0</v>
      </c>
      <c r="DK51" s="92"/>
      <c r="DL51" s="54"/>
      <c r="DM51" s="82"/>
      <c r="DN51" s="17"/>
      <c r="DO51" s="96">
        <f>SUM(DO33:DO50)</f>
        <v>0</v>
      </c>
      <c r="DP51" s="92"/>
      <c r="DQ51" s="54"/>
      <c r="DR51" s="82"/>
      <c r="DS51" s="17"/>
      <c r="DT51" s="96">
        <f>SUM(DT33:DT50)</f>
        <v>0</v>
      </c>
      <c r="DU51" s="92"/>
      <c r="DV51" s="54"/>
      <c r="DW51" s="82"/>
      <c r="DX51" s="17"/>
      <c r="DY51" s="96">
        <f>SUM(DY33:DY50)</f>
        <v>0</v>
      </c>
      <c r="DZ51" s="92"/>
      <c r="EA51" s="54"/>
      <c r="EB51" s="82"/>
      <c r="EC51" s="17"/>
      <c r="ED51" s="96">
        <f>SUM(ED33:ED50)</f>
        <v>0</v>
      </c>
      <c r="EE51" s="92"/>
      <c r="EF51" s="54"/>
      <c r="EG51" s="82"/>
      <c r="EH51" s="17"/>
      <c r="EI51" s="96">
        <f>SUM(EI33:EI50)</f>
        <v>0</v>
      </c>
      <c r="EJ51" s="92"/>
      <c r="EK51" s="54"/>
      <c r="EL51" s="82"/>
      <c r="EM51" s="17"/>
      <c r="EN51" s="96">
        <f>SUM(EN33:EN50)</f>
        <v>0</v>
      </c>
      <c r="EO51" s="92"/>
      <c r="EP51" s="54"/>
      <c r="EQ51" s="82"/>
      <c r="ER51" s="17"/>
      <c r="ES51" s="96">
        <f>SUM(ES33:ES50)</f>
        <v>0</v>
      </c>
      <c r="ET51" s="55"/>
      <c r="EU51" s="55"/>
    </row>
    <row r="52" spans="1:151" ht="15.75" x14ac:dyDescent="0.25">
      <c r="A52" s="58" t="s">
        <v>9</v>
      </c>
      <c r="B52" s="106"/>
      <c r="C52" s="90"/>
      <c r="D52" s="16"/>
      <c r="E52" s="81"/>
      <c r="F52" s="17"/>
      <c r="G52" s="94"/>
      <c r="H52" s="103"/>
      <c r="I52" s="16"/>
      <c r="J52" s="81"/>
      <c r="K52" s="17"/>
      <c r="L52" s="94"/>
      <c r="M52" s="103"/>
      <c r="N52" s="16"/>
      <c r="O52" s="81"/>
      <c r="P52" s="17"/>
      <c r="Q52" s="94"/>
      <c r="R52" s="103"/>
      <c r="S52" s="16"/>
      <c r="T52" s="81"/>
      <c r="U52" s="17"/>
      <c r="V52" s="94"/>
      <c r="W52" s="103"/>
      <c r="X52" s="16"/>
      <c r="Y52" s="81"/>
      <c r="Z52" s="17"/>
      <c r="AA52" s="94"/>
      <c r="AB52" s="103"/>
      <c r="AC52" s="16"/>
      <c r="AD52" s="81"/>
      <c r="AE52" s="17"/>
      <c r="AF52" s="94"/>
      <c r="AG52" s="103"/>
      <c r="AH52" s="16"/>
      <c r="AI52" s="81"/>
      <c r="AJ52" s="17"/>
      <c r="AK52" s="94"/>
      <c r="AL52" s="90"/>
      <c r="AM52" s="16"/>
      <c r="AN52" s="81"/>
      <c r="AO52" s="17"/>
      <c r="AP52" s="99"/>
      <c r="AQ52" s="90"/>
      <c r="AR52" s="16"/>
      <c r="AS52" s="81"/>
      <c r="AT52" s="17"/>
      <c r="AU52" s="99"/>
      <c r="AV52" s="90"/>
      <c r="AW52" s="16"/>
      <c r="AX52" s="81"/>
      <c r="AY52" s="17"/>
      <c r="AZ52" s="99"/>
      <c r="BA52" s="90"/>
      <c r="BB52" s="16"/>
      <c r="BC52" s="81"/>
      <c r="BD52" s="17"/>
      <c r="BE52" s="99"/>
      <c r="BF52" s="90"/>
      <c r="BG52" s="16"/>
      <c r="BH52" s="81"/>
      <c r="BI52" s="17"/>
      <c r="BJ52" s="99"/>
      <c r="BK52" s="90"/>
      <c r="BL52" s="16"/>
      <c r="BM52" s="81"/>
      <c r="BN52" s="17"/>
      <c r="BO52" s="99"/>
      <c r="BP52" s="90"/>
      <c r="BQ52" s="16"/>
      <c r="BR52" s="81"/>
      <c r="BS52" s="17"/>
      <c r="BT52" s="99"/>
      <c r="BU52" s="55"/>
      <c r="BV52" s="106"/>
      <c r="BW52" s="90"/>
      <c r="BX52" s="16"/>
      <c r="BY52" s="81"/>
      <c r="BZ52" s="17"/>
      <c r="CA52" s="94"/>
      <c r="CB52" s="103"/>
      <c r="CC52" s="16"/>
      <c r="CD52" s="81"/>
      <c r="CE52" s="17"/>
      <c r="CF52" s="94"/>
      <c r="CG52" s="103"/>
      <c r="CH52" s="16"/>
      <c r="CI52" s="81"/>
      <c r="CJ52" s="17"/>
      <c r="CK52" s="94"/>
      <c r="CL52" s="103"/>
      <c r="CM52" s="16"/>
      <c r="CN52" s="81"/>
      <c r="CO52" s="17"/>
      <c r="CP52" s="94"/>
      <c r="CQ52" s="103"/>
      <c r="CR52" s="16"/>
      <c r="CS52" s="81"/>
      <c r="CT52" s="17"/>
      <c r="CU52" s="94"/>
      <c r="CV52" s="103"/>
      <c r="CW52" s="16"/>
      <c r="CX52" s="81"/>
      <c r="CY52" s="17"/>
      <c r="CZ52" s="94"/>
      <c r="DA52" s="103"/>
      <c r="DB52" s="16"/>
      <c r="DC52" s="81"/>
      <c r="DD52" s="17"/>
      <c r="DE52" s="94"/>
      <c r="DF52" s="90"/>
      <c r="DG52" s="16"/>
      <c r="DH52" s="81"/>
      <c r="DI52" s="17"/>
      <c r="DJ52" s="99"/>
      <c r="DK52" s="90"/>
      <c r="DL52" s="16"/>
      <c r="DM52" s="81"/>
      <c r="DN52" s="17"/>
      <c r="DO52" s="99"/>
      <c r="DP52" s="90"/>
      <c r="DQ52" s="16"/>
      <c r="DR52" s="81"/>
      <c r="DS52" s="17"/>
      <c r="DT52" s="99"/>
      <c r="DU52" s="90"/>
      <c r="DV52" s="16"/>
      <c r="DW52" s="81"/>
      <c r="DX52" s="17"/>
      <c r="DY52" s="99"/>
      <c r="DZ52" s="90"/>
      <c r="EA52" s="16"/>
      <c r="EB52" s="81"/>
      <c r="EC52" s="17"/>
      <c r="ED52" s="99"/>
      <c r="EE52" s="90"/>
      <c r="EF52" s="16"/>
      <c r="EG52" s="81"/>
      <c r="EH52" s="17"/>
      <c r="EI52" s="99"/>
      <c r="EJ52" s="90"/>
      <c r="EK52" s="16"/>
      <c r="EL52" s="81"/>
      <c r="EM52" s="17"/>
      <c r="EN52" s="99"/>
      <c r="EO52" s="90"/>
      <c r="EP52" s="16"/>
      <c r="EQ52" s="81"/>
      <c r="ER52" s="17"/>
      <c r="ES52" s="99"/>
      <c r="ET52" s="55"/>
      <c r="EU52" s="55"/>
    </row>
    <row r="53" spans="1:151" x14ac:dyDescent="0.25">
      <c r="A53" s="177" t="s">
        <v>135</v>
      </c>
      <c r="B53" s="107">
        <f t="shared" ref="B53:B59" si="337">G53+L53+Q53+V53+AA53+AF53+AK53+AP53+AU53+AZ53+BE53+BJ53+BO53+BT53</f>
        <v>0</v>
      </c>
      <c r="C53" s="91">
        <v>184200</v>
      </c>
      <c r="D53" s="189">
        <v>0</v>
      </c>
      <c r="E53" s="57">
        <f t="shared" ref="E53:E59" si="338">SUM(C53*D53)</f>
        <v>0</v>
      </c>
      <c r="F53" s="20">
        <v>0.26</v>
      </c>
      <c r="G53" s="95">
        <f t="shared" ref="G53:G59" si="339">E53-E53*F53</f>
        <v>0</v>
      </c>
      <c r="H53" s="120"/>
      <c r="I53" s="19"/>
      <c r="J53" s="57">
        <f t="shared" ref="J53:J59" si="340">SUM(H53*I53)</f>
        <v>0</v>
      </c>
      <c r="K53" s="20"/>
      <c r="L53" s="95">
        <f t="shared" ref="L53:L59" si="341">J53-J53*K53</f>
        <v>0</v>
      </c>
      <c r="M53" s="120"/>
      <c r="N53" s="19"/>
      <c r="O53" s="57">
        <f t="shared" ref="O53:O59" si="342">SUM(M53*N53)</f>
        <v>0</v>
      </c>
      <c r="P53" s="20"/>
      <c r="Q53" s="95">
        <f t="shared" ref="Q53:Q59" si="343">O53-O53*P53</f>
        <v>0</v>
      </c>
      <c r="R53" s="120"/>
      <c r="S53" s="19"/>
      <c r="T53" s="57">
        <f t="shared" ref="T53:T59" si="344">SUM(R53*S53)</f>
        <v>0</v>
      </c>
      <c r="U53" s="20"/>
      <c r="V53" s="95">
        <f t="shared" ref="V53:V59" si="345">T53-T53*U53</f>
        <v>0</v>
      </c>
      <c r="W53" s="120"/>
      <c r="X53" s="19"/>
      <c r="Y53" s="57">
        <f t="shared" ref="Y53:Y59" si="346">SUM(W53*X53)</f>
        <v>0</v>
      </c>
      <c r="Z53" s="20"/>
      <c r="AA53" s="95">
        <f t="shared" ref="AA53:AA59" si="347">Y53-Y53*Z53</f>
        <v>0</v>
      </c>
      <c r="AB53" s="120"/>
      <c r="AC53" s="19"/>
      <c r="AD53" s="57">
        <f t="shared" ref="AD53:AD59" si="348">SUM(AB53*AC53)</f>
        <v>0</v>
      </c>
      <c r="AE53" s="20"/>
      <c r="AF53" s="95">
        <f t="shared" ref="AF53:AF59" si="349">AD53-AD53*AE53</f>
        <v>0</v>
      </c>
      <c r="AG53" s="120"/>
      <c r="AH53" s="19"/>
      <c r="AI53" s="57">
        <f t="shared" ref="AI53:AI59" si="350">SUM(AG53*AH53)</f>
        <v>0</v>
      </c>
      <c r="AJ53" s="20"/>
      <c r="AK53" s="95">
        <f t="shared" ref="AK53:AK59" si="351">AI53-AI53*AJ53</f>
        <v>0</v>
      </c>
      <c r="AL53" s="91"/>
      <c r="AM53" s="19"/>
      <c r="AN53" s="57">
        <f t="shared" ref="AN53:AN59" si="352">SUM(AL53*AM53)</f>
        <v>0</v>
      </c>
      <c r="AO53" s="20"/>
      <c r="AP53" s="100">
        <f t="shared" ref="AP53:AP59" si="353">AN53-AN53*AO53</f>
        <v>0</v>
      </c>
      <c r="AQ53" s="91"/>
      <c r="AR53" s="19"/>
      <c r="AS53" s="57">
        <f t="shared" ref="AS53:AS59" si="354">SUM(AQ53*AR53)</f>
        <v>0</v>
      </c>
      <c r="AT53" s="20"/>
      <c r="AU53" s="100">
        <f t="shared" ref="AU53:AU59" si="355">AS53-AS53*AT53</f>
        <v>0</v>
      </c>
      <c r="AV53" s="91"/>
      <c r="AW53" s="19"/>
      <c r="AX53" s="57">
        <f t="shared" ref="AX53:AX59" si="356">SUM(AV53*AW53)</f>
        <v>0</v>
      </c>
      <c r="AY53" s="20"/>
      <c r="AZ53" s="100">
        <f t="shared" ref="AZ53:AZ59" si="357">AX53-AX53*AY53</f>
        <v>0</v>
      </c>
      <c r="BA53" s="91"/>
      <c r="BB53" s="19"/>
      <c r="BC53" s="57">
        <f t="shared" ref="BC53:BC59" si="358">SUM(BA53*BB53)</f>
        <v>0</v>
      </c>
      <c r="BD53" s="20"/>
      <c r="BE53" s="100">
        <f t="shared" ref="BE53:BE59" si="359">BC53-BC53*BD53</f>
        <v>0</v>
      </c>
      <c r="BF53" s="91"/>
      <c r="BG53" s="19"/>
      <c r="BH53" s="57">
        <f t="shared" ref="BH53:BH59" si="360">SUM(BF53*BG53)</f>
        <v>0</v>
      </c>
      <c r="BI53" s="20"/>
      <c r="BJ53" s="100">
        <f t="shared" ref="BJ53:BJ59" si="361">BH53-BH53*BI53</f>
        <v>0</v>
      </c>
      <c r="BK53" s="91"/>
      <c r="BL53" s="19"/>
      <c r="BM53" s="57">
        <f t="shared" ref="BM53:BM59" si="362">SUM(BK53*BL53)</f>
        <v>0</v>
      </c>
      <c r="BN53" s="20"/>
      <c r="BO53" s="100">
        <f t="shared" ref="BO53:BO59" si="363">BM53-BM53*BN53</f>
        <v>0</v>
      </c>
      <c r="BP53" s="91"/>
      <c r="BQ53" s="19"/>
      <c r="BR53" s="57">
        <f t="shared" ref="BR53:BR59" si="364">SUM(BP53*BQ53)</f>
        <v>0</v>
      </c>
      <c r="BS53" s="20"/>
      <c r="BT53" s="100">
        <f t="shared" ref="BT53:BT59" si="365">BR53-BR53*BS53</f>
        <v>0</v>
      </c>
      <c r="BU53" s="55"/>
      <c r="BV53" s="107">
        <f>CA53+CF53+CK53+CP53+CU53+CZ53+DE53+DJ53+DO53+DT53+DY53+ED53+EI53+EN53+ES53</f>
        <v>0</v>
      </c>
      <c r="BW53" s="91"/>
      <c r="BX53" s="19"/>
      <c r="BY53" s="57">
        <f t="shared" ref="BY53:BY57" si="366">SUM(BW53*BX53)</f>
        <v>0</v>
      </c>
      <c r="BZ53" s="20"/>
      <c r="CA53" s="95">
        <f t="shared" ref="CA53:CA59" si="367">BY53-BY53*BZ53</f>
        <v>0</v>
      </c>
      <c r="CB53" s="120"/>
      <c r="CC53" s="19"/>
      <c r="CD53" s="57">
        <f t="shared" ref="CD53:CD59" si="368">SUM(CB53*CC53)</f>
        <v>0</v>
      </c>
      <c r="CE53" s="20"/>
      <c r="CF53" s="95">
        <f t="shared" ref="CF53:CF59" si="369">CD53-CD53*CE53</f>
        <v>0</v>
      </c>
      <c r="CG53" s="120"/>
      <c r="CH53" s="19"/>
      <c r="CI53" s="57">
        <f t="shared" ref="CI53:CI59" si="370">SUM(CG53*CH53)</f>
        <v>0</v>
      </c>
      <c r="CJ53" s="20"/>
      <c r="CK53" s="95">
        <f t="shared" ref="CK53:CK59" si="371">CI53-CI53*CJ53</f>
        <v>0</v>
      </c>
      <c r="CL53" s="120"/>
      <c r="CM53" s="19"/>
      <c r="CN53" s="57">
        <f t="shared" ref="CN53:CN59" si="372">SUM(CL53*CM53)</f>
        <v>0</v>
      </c>
      <c r="CO53" s="20"/>
      <c r="CP53" s="95">
        <f t="shared" ref="CP53:CP59" si="373">CN53-CN53*CO53</f>
        <v>0</v>
      </c>
      <c r="CQ53" s="120"/>
      <c r="CR53" s="19"/>
      <c r="CS53" s="57">
        <f t="shared" ref="CS53:CS55" si="374">SUM(CQ53*CR53)</f>
        <v>0</v>
      </c>
      <c r="CT53" s="20"/>
      <c r="CU53" s="95">
        <f t="shared" ref="CU53:CU59" si="375">CS53-CS53*CT53</f>
        <v>0</v>
      </c>
      <c r="CV53" s="120"/>
      <c r="CW53" s="19"/>
      <c r="CX53" s="57">
        <f t="shared" ref="CX53:CX59" si="376">SUM(CV53*CW53)</f>
        <v>0</v>
      </c>
      <c r="CY53" s="20"/>
      <c r="CZ53" s="95">
        <f t="shared" ref="CZ53:CZ59" si="377">CX53-CX53*CY53</f>
        <v>0</v>
      </c>
      <c r="DA53" s="120"/>
      <c r="DB53" s="19"/>
      <c r="DC53" s="57">
        <f t="shared" ref="DC53:DC59" si="378">SUM(DA53*DB53)</f>
        <v>0</v>
      </c>
      <c r="DD53" s="20"/>
      <c r="DE53" s="95">
        <f t="shared" ref="DE53:DE59" si="379">DC53-DC53*DD53</f>
        <v>0</v>
      </c>
      <c r="DF53" s="91"/>
      <c r="DG53" s="19"/>
      <c r="DH53" s="57">
        <f t="shared" ref="DH53:DH59" si="380">SUM(DF53*DG53)</f>
        <v>0</v>
      </c>
      <c r="DI53" s="20"/>
      <c r="DJ53" s="100">
        <f t="shared" ref="DJ53:DJ59" si="381">DH53-DH53*DI53</f>
        <v>0</v>
      </c>
      <c r="DK53" s="91"/>
      <c r="DL53" s="19"/>
      <c r="DM53" s="57">
        <f t="shared" ref="DM53:DM59" si="382">SUM(DK53*DL53)</f>
        <v>0</v>
      </c>
      <c r="DN53" s="20"/>
      <c r="DO53" s="100">
        <f t="shared" ref="DO53:DO59" si="383">DM53-DM53*DN53</f>
        <v>0</v>
      </c>
      <c r="DP53" s="91"/>
      <c r="DQ53" s="19"/>
      <c r="DR53" s="57">
        <f t="shared" ref="DR53:DR59" si="384">SUM(DP53*DQ53)</f>
        <v>0</v>
      </c>
      <c r="DS53" s="20"/>
      <c r="DT53" s="100">
        <f t="shared" ref="DT53:DT59" si="385">DR53-DR53*DS53</f>
        <v>0</v>
      </c>
      <c r="DU53" s="91"/>
      <c r="DV53" s="19"/>
      <c r="DW53" s="57">
        <f t="shared" ref="DW53:DW59" si="386">SUM(DU53*DV53)</f>
        <v>0</v>
      </c>
      <c r="DX53" s="20"/>
      <c r="DY53" s="100">
        <f t="shared" ref="DY53:DY59" si="387">DW53-DW53*DX53</f>
        <v>0</v>
      </c>
      <c r="DZ53" s="91"/>
      <c r="EA53" s="19"/>
      <c r="EB53" s="57">
        <f t="shared" ref="EB53:EB59" si="388">SUM(DZ53*EA53)</f>
        <v>0</v>
      </c>
      <c r="EC53" s="20"/>
      <c r="ED53" s="100">
        <f t="shared" ref="ED53:ED59" si="389">EB53-EB53*EC53</f>
        <v>0</v>
      </c>
      <c r="EE53" s="91"/>
      <c r="EF53" s="19"/>
      <c r="EG53" s="57">
        <f t="shared" ref="EG53:EG59" si="390">SUM(EE53*EF53)</f>
        <v>0</v>
      </c>
      <c r="EH53" s="20"/>
      <c r="EI53" s="100">
        <f t="shared" ref="EI53:EI59" si="391">EG53-EG53*EH53</f>
        <v>0</v>
      </c>
      <c r="EJ53" s="91"/>
      <c r="EK53" s="19"/>
      <c r="EL53" s="57">
        <f t="shared" ref="EL53:EL59" si="392">SUM(EJ53*EK53)</f>
        <v>0</v>
      </c>
      <c r="EM53" s="20"/>
      <c r="EN53" s="100">
        <f t="shared" ref="EN53:EN59" si="393">EL53-EL53*EM53</f>
        <v>0</v>
      </c>
      <c r="EO53" s="91"/>
      <c r="EP53" s="19"/>
      <c r="EQ53" s="57">
        <f t="shared" ref="EQ53:EQ59" si="394">SUM(EO53*EP53)</f>
        <v>0</v>
      </c>
      <c r="ER53" s="20"/>
      <c r="ES53" s="100">
        <f t="shared" ref="ES53:ES59" si="395">EQ53-EQ53*ER53</f>
        <v>0</v>
      </c>
      <c r="ET53" s="55"/>
      <c r="EU53" s="55"/>
    </row>
    <row r="54" spans="1:151" x14ac:dyDescent="0.25">
      <c r="A54" s="177" t="s">
        <v>136</v>
      </c>
      <c r="B54" s="107">
        <f t="shared" si="337"/>
        <v>0</v>
      </c>
      <c r="C54" s="91">
        <v>199523</v>
      </c>
      <c r="D54" s="189">
        <v>0</v>
      </c>
      <c r="E54" s="57">
        <f t="shared" si="338"/>
        <v>0</v>
      </c>
      <c r="F54" s="20">
        <v>0.26</v>
      </c>
      <c r="G54" s="95">
        <f t="shared" si="339"/>
        <v>0</v>
      </c>
      <c r="H54" s="120"/>
      <c r="I54" s="19"/>
      <c r="J54" s="57">
        <f t="shared" si="340"/>
        <v>0</v>
      </c>
      <c r="K54" s="20"/>
      <c r="L54" s="95">
        <f t="shared" si="341"/>
        <v>0</v>
      </c>
      <c r="M54" s="120"/>
      <c r="N54" s="19"/>
      <c r="O54" s="57">
        <f t="shared" si="342"/>
        <v>0</v>
      </c>
      <c r="P54" s="20"/>
      <c r="Q54" s="95">
        <f t="shared" si="343"/>
        <v>0</v>
      </c>
      <c r="R54" s="120"/>
      <c r="S54" s="19"/>
      <c r="T54" s="57">
        <f t="shared" si="344"/>
        <v>0</v>
      </c>
      <c r="U54" s="20"/>
      <c r="V54" s="95">
        <f t="shared" si="345"/>
        <v>0</v>
      </c>
      <c r="W54" s="120"/>
      <c r="X54" s="19"/>
      <c r="Y54" s="57">
        <f t="shared" si="346"/>
        <v>0</v>
      </c>
      <c r="Z54" s="20"/>
      <c r="AA54" s="95">
        <f t="shared" si="347"/>
        <v>0</v>
      </c>
      <c r="AB54" s="120"/>
      <c r="AC54" s="19"/>
      <c r="AD54" s="57">
        <f t="shared" si="348"/>
        <v>0</v>
      </c>
      <c r="AE54" s="20"/>
      <c r="AF54" s="95">
        <f t="shared" si="349"/>
        <v>0</v>
      </c>
      <c r="AG54" s="120"/>
      <c r="AH54" s="19"/>
      <c r="AI54" s="57">
        <f t="shared" si="350"/>
        <v>0</v>
      </c>
      <c r="AJ54" s="20"/>
      <c r="AK54" s="95">
        <f t="shared" si="351"/>
        <v>0</v>
      </c>
      <c r="AL54" s="91"/>
      <c r="AM54" s="19"/>
      <c r="AN54" s="57">
        <f t="shared" si="352"/>
        <v>0</v>
      </c>
      <c r="AO54" s="20"/>
      <c r="AP54" s="100">
        <f t="shared" si="353"/>
        <v>0</v>
      </c>
      <c r="AQ54" s="91"/>
      <c r="AR54" s="19"/>
      <c r="AS54" s="57">
        <f t="shared" si="354"/>
        <v>0</v>
      </c>
      <c r="AT54" s="20"/>
      <c r="AU54" s="100">
        <f t="shared" si="355"/>
        <v>0</v>
      </c>
      <c r="AV54" s="91"/>
      <c r="AW54" s="19"/>
      <c r="AX54" s="57">
        <f t="shared" si="356"/>
        <v>0</v>
      </c>
      <c r="AY54" s="20"/>
      <c r="AZ54" s="100">
        <f t="shared" si="357"/>
        <v>0</v>
      </c>
      <c r="BA54" s="91"/>
      <c r="BB54" s="19"/>
      <c r="BC54" s="57">
        <f t="shared" si="358"/>
        <v>0</v>
      </c>
      <c r="BD54" s="20"/>
      <c r="BE54" s="100">
        <f t="shared" si="359"/>
        <v>0</v>
      </c>
      <c r="BF54" s="91"/>
      <c r="BG54" s="19"/>
      <c r="BH54" s="57">
        <f t="shared" si="360"/>
        <v>0</v>
      </c>
      <c r="BI54" s="20"/>
      <c r="BJ54" s="100">
        <f t="shared" si="361"/>
        <v>0</v>
      </c>
      <c r="BK54" s="91"/>
      <c r="BL54" s="19"/>
      <c r="BM54" s="57">
        <f t="shared" si="362"/>
        <v>0</v>
      </c>
      <c r="BN54" s="20"/>
      <c r="BO54" s="100">
        <f t="shared" si="363"/>
        <v>0</v>
      </c>
      <c r="BP54" s="91"/>
      <c r="BQ54" s="19"/>
      <c r="BR54" s="57">
        <f t="shared" si="364"/>
        <v>0</v>
      </c>
      <c r="BS54" s="20"/>
      <c r="BT54" s="100">
        <f t="shared" si="365"/>
        <v>0</v>
      </c>
      <c r="BU54" s="55"/>
      <c r="BV54" s="107">
        <f t="shared" ref="BV54:BV59" si="396">CA54+CF54+CK54+CP54+CU54+CZ54+DE54+DJ54+DO54+DT54+DY54+ED54+EI54+EN54+ES54</f>
        <v>0</v>
      </c>
      <c r="BW54" s="91"/>
      <c r="BX54" s="19"/>
      <c r="BY54" s="57">
        <f t="shared" si="366"/>
        <v>0</v>
      </c>
      <c r="BZ54" s="20"/>
      <c r="CA54" s="95">
        <f t="shared" si="367"/>
        <v>0</v>
      </c>
      <c r="CB54" s="120"/>
      <c r="CC54" s="19"/>
      <c r="CD54" s="57">
        <f t="shared" si="368"/>
        <v>0</v>
      </c>
      <c r="CE54" s="20"/>
      <c r="CF54" s="95">
        <f t="shared" si="369"/>
        <v>0</v>
      </c>
      <c r="CG54" s="120"/>
      <c r="CH54" s="19"/>
      <c r="CI54" s="57">
        <f t="shared" si="370"/>
        <v>0</v>
      </c>
      <c r="CJ54" s="20"/>
      <c r="CK54" s="95">
        <f t="shared" si="371"/>
        <v>0</v>
      </c>
      <c r="CL54" s="120"/>
      <c r="CM54" s="19"/>
      <c r="CN54" s="57">
        <f t="shared" si="372"/>
        <v>0</v>
      </c>
      <c r="CO54" s="20"/>
      <c r="CP54" s="95">
        <f t="shared" si="373"/>
        <v>0</v>
      </c>
      <c r="CQ54" s="120"/>
      <c r="CR54" s="19"/>
      <c r="CS54" s="57">
        <f t="shared" si="374"/>
        <v>0</v>
      </c>
      <c r="CT54" s="20"/>
      <c r="CU54" s="95">
        <f t="shared" si="375"/>
        <v>0</v>
      </c>
      <c r="CV54" s="120"/>
      <c r="CW54" s="19"/>
      <c r="CX54" s="57">
        <f t="shared" si="376"/>
        <v>0</v>
      </c>
      <c r="CY54" s="20"/>
      <c r="CZ54" s="95">
        <f t="shared" si="377"/>
        <v>0</v>
      </c>
      <c r="DA54" s="120"/>
      <c r="DB54" s="19"/>
      <c r="DC54" s="57">
        <f t="shared" si="378"/>
        <v>0</v>
      </c>
      <c r="DD54" s="20"/>
      <c r="DE54" s="95">
        <f t="shared" si="379"/>
        <v>0</v>
      </c>
      <c r="DF54" s="91"/>
      <c r="DG54" s="19"/>
      <c r="DH54" s="57">
        <f t="shared" si="380"/>
        <v>0</v>
      </c>
      <c r="DI54" s="20"/>
      <c r="DJ54" s="100">
        <f t="shared" si="381"/>
        <v>0</v>
      </c>
      <c r="DK54" s="91"/>
      <c r="DL54" s="19"/>
      <c r="DM54" s="57">
        <f t="shared" si="382"/>
        <v>0</v>
      </c>
      <c r="DN54" s="20"/>
      <c r="DO54" s="100">
        <f t="shared" si="383"/>
        <v>0</v>
      </c>
      <c r="DP54" s="91"/>
      <c r="DQ54" s="19"/>
      <c r="DR54" s="57">
        <f t="shared" si="384"/>
        <v>0</v>
      </c>
      <c r="DS54" s="20"/>
      <c r="DT54" s="100">
        <f t="shared" si="385"/>
        <v>0</v>
      </c>
      <c r="DU54" s="91"/>
      <c r="DV54" s="19"/>
      <c r="DW54" s="57">
        <f t="shared" si="386"/>
        <v>0</v>
      </c>
      <c r="DX54" s="20"/>
      <c r="DY54" s="100">
        <f t="shared" si="387"/>
        <v>0</v>
      </c>
      <c r="DZ54" s="91"/>
      <c r="EA54" s="19"/>
      <c r="EB54" s="57">
        <f t="shared" si="388"/>
        <v>0</v>
      </c>
      <c r="EC54" s="20"/>
      <c r="ED54" s="100">
        <f t="shared" si="389"/>
        <v>0</v>
      </c>
      <c r="EE54" s="91"/>
      <c r="EF54" s="19"/>
      <c r="EG54" s="57">
        <f t="shared" si="390"/>
        <v>0</v>
      </c>
      <c r="EH54" s="20"/>
      <c r="EI54" s="100">
        <f t="shared" si="391"/>
        <v>0</v>
      </c>
      <c r="EJ54" s="91"/>
      <c r="EK54" s="19"/>
      <c r="EL54" s="57">
        <f t="shared" si="392"/>
        <v>0</v>
      </c>
      <c r="EM54" s="20"/>
      <c r="EN54" s="100">
        <f t="shared" si="393"/>
        <v>0</v>
      </c>
      <c r="EO54" s="91"/>
      <c r="EP54" s="19"/>
      <c r="EQ54" s="57">
        <f t="shared" si="394"/>
        <v>0</v>
      </c>
      <c r="ER54" s="20"/>
      <c r="ES54" s="100">
        <f t="shared" si="395"/>
        <v>0</v>
      </c>
      <c r="ET54" s="55"/>
      <c r="EU54" s="55"/>
    </row>
    <row r="55" spans="1:151" x14ac:dyDescent="0.25">
      <c r="A55" s="18" t="s">
        <v>137</v>
      </c>
      <c r="B55" s="107">
        <f t="shared" si="337"/>
        <v>39754.649999999994</v>
      </c>
      <c r="C55" s="91"/>
      <c r="D55" s="19"/>
      <c r="E55" s="57">
        <f t="shared" si="338"/>
        <v>0</v>
      </c>
      <c r="F55" s="20"/>
      <c r="G55" s="95">
        <f t="shared" si="339"/>
        <v>0</v>
      </c>
      <c r="H55" s="120"/>
      <c r="I55" s="19"/>
      <c r="J55" s="57">
        <f t="shared" si="340"/>
        <v>0</v>
      </c>
      <c r="K55" s="20"/>
      <c r="L55" s="95">
        <f t="shared" si="341"/>
        <v>0</v>
      </c>
      <c r="M55" s="192">
        <v>5372.25</v>
      </c>
      <c r="N55" s="189">
        <v>1</v>
      </c>
      <c r="O55" s="57">
        <f t="shared" si="342"/>
        <v>5372.25</v>
      </c>
      <c r="P55" s="20">
        <v>0.26</v>
      </c>
      <c r="Q55" s="95">
        <f t="shared" si="343"/>
        <v>3975.4650000000001</v>
      </c>
      <c r="R55" s="192">
        <v>5372.25</v>
      </c>
      <c r="S55" s="189">
        <v>1</v>
      </c>
      <c r="T55" s="57">
        <f t="shared" si="344"/>
        <v>5372.25</v>
      </c>
      <c r="U55" s="20">
        <v>0.26</v>
      </c>
      <c r="V55" s="95">
        <f t="shared" si="345"/>
        <v>3975.4650000000001</v>
      </c>
      <c r="W55" s="192">
        <v>5372.25</v>
      </c>
      <c r="X55" s="189">
        <v>1</v>
      </c>
      <c r="Y55" s="57">
        <f t="shared" si="346"/>
        <v>5372.25</v>
      </c>
      <c r="Z55" s="20">
        <v>0.26</v>
      </c>
      <c r="AA55" s="95">
        <f t="shared" si="347"/>
        <v>3975.4650000000001</v>
      </c>
      <c r="AB55" s="192">
        <v>5372.25</v>
      </c>
      <c r="AC55" s="189">
        <v>1</v>
      </c>
      <c r="AD55" s="57">
        <f t="shared" si="348"/>
        <v>5372.25</v>
      </c>
      <c r="AE55" s="20">
        <v>0.26</v>
      </c>
      <c r="AF55" s="95">
        <f t="shared" si="349"/>
        <v>3975.4650000000001</v>
      </c>
      <c r="AG55" s="192">
        <v>5372.25</v>
      </c>
      <c r="AH55" s="189">
        <v>1</v>
      </c>
      <c r="AI55" s="57">
        <f t="shared" si="350"/>
        <v>5372.25</v>
      </c>
      <c r="AJ55" s="20">
        <v>0.26</v>
      </c>
      <c r="AK55" s="95">
        <f t="shared" si="351"/>
        <v>3975.4650000000001</v>
      </c>
      <c r="AL55" s="192">
        <v>5372.25</v>
      </c>
      <c r="AM55" s="189">
        <v>1</v>
      </c>
      <c r="AN55" s="57">
        <f t="shared" si="352"/>
        <v>5372.25</v>
      </c>
      <c r="AO55" s="20">
        <v>0.26</v>
      </c>
      <c r="AP55" s="95">
        <f t="shared" si="353"/>
        <v>3975.4650000000001</v>
      </c>
      <c r="AQ55" s="192">
        <v>5372.25</v>
      </c>
      <c r="AR55" s="189">
        <v>1</v>
      </c>
      <c r="AS55" s="57">
        <f t="shared" si="354"/>
        <v>5372.25</v>
      </c>
      <c r="AT55" s="20">
        <v>0.26</v>
      </c>
      <c r="AU55" s="95">
        <f t="shared" si="355"/>
        <v>3975.4650000000001</v>
      </c>
      <c r="AV55" s="192">
        <v>5372.25</v>
      </c>
      <c r="AW55" s="189">
        <v>1</v>
      </c>
      <c r="AX55" s="57">
        <f t="shared" si="356"/>
        <v>5372.25</v>
      </c>
      <c r="AY55" s="20">
        <v>0.26</v>
      </c>
      <c r="AZ55" s="95">
        <f t="shared" si="357"/>
        <v>3975.4650000000001</v>
      </c>
      <c r="BA55" s="192">
        <v>5372.25</v>
      </c>
      <c r="BB55" s="189">
        <v>1</v>
      </c>
      <c r="BC55" s="57">
        <f t="shared" si="358"/>
        <v>5372.25</v>
      </c>
      <c r="BD55" s="20">
        <v>0.26</v>
      </c>
      <c r="BE55" s="95">
        <f t="shared" si="359"/>
        <v>3975.4650000000001</v>
      </c>
      <c r="BF55" s="192">
        <v>5372.25</v>
      </c>
      <c r="BG55" s="189">
        <v>1</v>
      </c>
      <c r="BH55" s="57">
        <f t="shared" si="360"/>
        <v>5372.25</v>
      </c>
      <c r="BI55" s="20">
        <v>0.26</v>
      </c>
      <c r="BJ55" s="95">
        <f t="shared" si="361"/>
        <v>3975.4650000000001</v>
      </c>
      <c r="BK55" s="91"/>
      <c r="BL55" s="19"/>
      <c r="BM55" s="57">
        <f t="shared" si="362"/>
        <v>0</v>
      </c>
      <c r="BN55" s="20"/>
      <c r="BO55" s="100">
        <f t="shared" si="363"/>
        <v>0</v>
      </c>
      <c r="BP55" s="91"/>
      <c r="BQ55" s="19"/>
      <c r="BR55" s="57">
        <f t="shared" si="364"/>
        <v>0</v>
      </c>
      <c r="BS55" s="20"/>
      <c r="BT55" s="100">
        <f t="shared" si="365"/>
        <v>0</v>
      </c>
      <c r="BU55" s="55"/>
      <c r="BV55" s="107">
        <f t="shared" si="396"/>
        <v>19877.325000000001</v>
      </c>
      <c r="BW55" s="192">
        <v>5372.25</v>
      </c>
      <c r="BX55" s="189">
        <v>1</v>
      </c>
      <c r="BY55" s="57">
        <f t="shared" ref="BY55" si="397">SUM(BW55*BX55)</f>
        <v>5372.25</v>
      </c>
      <c r="BZ55" s="20">
        <v>0.26</v>
      </c>
      <c r="CA55" s="95">
        <f t="shared" si="367"/>
        <v>3975.4650000000001</v>
      </c>
      <c r="CB55" s="192">
        <v>5372.25</v>
      </c>
      <c r="CC55" s="189">
        <v>1</v>
      </c>
      <c r="CD55" s="57">
        <f t="shared" si="368"/>
        <v>5372.25</v>
      </c>
      <c r="CE55" s="20">
        <v>0.26</v>
      </c>
      <c r="CF55" s="95">
        <f t="shared" si="369"/>
        <v>3975.4650000000001</v>
      </c>
      <c r="CG55" s="192">
        <v>5372.25</v>
      </c>
      <c r="CH55" s="189">
        <v>1</v>
      </c>
      <c r="CI55" s="57">
        <f t="shared" si="370"/>
        <v>5372.25</v>
      </c>
      <c r="CJ55" s="20">
        <v>0.26</v>
      </c>
      <c r="CK55" s="95">
        <f t="shared" si="371"/>
        <v>3975.4650000000001</v>
      </c>
      <c r="CL55" s="192">
        <v>5372.25</v>
      </c>
      <c r="CM55" s="189">
        <v>1</v>
      </c>
      <c r="CN55" s="57">
        <f t="shared" si="372"/>
        <v>5372.25</v>
      </c>
      <c r="CO55" s="20">
        <v>0.26</v>
      </c>
      <c r="CP55" s="95">
        <f t="shared" si="373"/>
        <v>3975.4650000000001</v>
      </c>
      <c r="CQ55" s="192">
        <v>5372.25</v>
      </c>
      <c r="CR55" s="189">
        <v>1</v>
      </c>
      <c r="CS55" s="57">
        <f t="shared" si="374"/>
        <v>5372.25</v>
      </c>
      <c r="CT55" s="20">
        <v>0.26</v>
      </c>
      <c r="CU55" s="95">
        <f t="shared" si="375"/>
        <v>3975.4650000000001</v>
      </c>
      <c r="CV55" s="120"/>
      <c r="CW55" s="19"/>
      <c r="CX55" s="57">
        <f t="shared" si="376"/>
        <v>0</v>
      </c>
      <c r="CY55" s="20"/>
      <c r="CZ55" s="95">
        <f t="shared" si="377"/>
        <v>0</v>
      </c>
      <c r="DA55" s="120"/>
      <c r="DB55" s="19"/>
      <c r="DC55" s="57">
        <f t="shared" si="378"/>
        <v>0</v>
      </c>
      <c r="DD55" s="20"/>
      <c r="DE55" s="95">
        <f t="shared" si="379"/>
        <v>0</v>
      </c>
      <c r="DF55" s="91"/>
      <c r="DG55" s="19"/>
      <c r="DH55" s="57">
        <f t="shared" si="380"/>
        <v>0</v>
      </c>
      <c r="DI55" s="20"/>
      <c r="DJ55" s="100">
        <f t="shared" si="381"/>
        <v>0</v>
      </c>
      <c r="DK55" s="91"/>
      <c r="DL55" s="19"/>
      <c r="DM55" s="57">
        <f t="shared" si="382"/>
        <v>0</v>
      </c>
      <c r="DN55" s="20"/>
      <c r="DO55" s="100">
        <f t="shared" si="383"/>
        <v>0</v>
      </c>
      <c r="DP55" s="91"/>
      <c r="DQ55" s="19"/>
      <c r="DR55" s="57">
        <f t="shared" si="384"/>
        <v>0</v>
      </c>
      <c r="DS55" s="20"/>
      <c r="DT55" s="100">
        <f t="shared" si="385"/>
        <v>0</v>
      </c>
      <c r="DU55" s="91"/>
      <c r="DV55" s="19"/>
      <c r="DW55" s="57">
        <f t="shared" si="386"/>
        <v>0</v>
      </c>
      <c r="DX55" s="20"/>
      <c r="DY55" s="100">
        <f t="shared" si="387"/>
        <v>0</v>
      </c>
      <c r="DZ55" s="91"/>
      <c r="EA55" s="19"/>
      <c r="EB55" s="57">
        <f t="shared" si="388"/>
        <v>0</v>
      </c>
      <c r="EC55" s="20"/>
      <c r="ED55" s="100">
        <f t="shared" si="389"/>
        <v>0</v>
      </c>
      <c r="EE55" s="91"/>
      <c r="EF55" s="19"/>
      <c r="EG55" s="57">
        <f t="shared" si="390"/>
        <v>0</v>
      </c>
      <c r="EH55" s="20"/>
      <c r="EI55" s="100">
        <f t="shared" si="391"/>
        <v>0</v>
      </c>
      <c r="EJ55" s="91"/>
      <c r="EK55" s="19"/>
      <c r="EL55" s="57">
        <f t="shared" si="392"/>
        <v>0</v>
      </c>
      <c r="EM55" s="20"/>
      <c r="EN55" s="100">
        <f t="shared" si="393"/>
        <v>0</v>
      </c>
      <c r="EO55" s="91"/>
      <c r="EP55" s="19"/>
      <c r="EQ55" s="57">
        <f t="shared" si="394"/>
        <v>0</v>
      </c>
      <c r="ER55" s="20"/>
      <c r="ES55" s="100">
        <f t="shared" si="395"/>
        <v>0</v>
      </c>
      <c r="ET55" s="55"/>
      <c r="EU55" s="55"/>
    </row>
    <row r="56" spans="1:151" x14ac:dyDescent="0.25">
      <c r="A56" s="18" t="s">
        <v>138</v>
      </c>
      <c r="B56" s="107">
        <f t="shared" si="337"/>
        <v>5625</v>
      </c>
      <c r="C56" s="91"/>
      <c r="D56" s="19"/>
      <c r="E56" s="57">
        <f t="shared" si="338"/>
        <v>0</v>
      </c>
      <c r="F56" s="20"/>
      <c r="G56" s="95">
        <f t="shared" si="339"/>
        <v>0</v>
      </c>
      <c r="H56" s="120"/>
      <c r="I56" s="19"/>
      <c r="J56" s="57">
        <f t="shared" si="340"/>
        <v>0</v>
      </c>
      <c r="K56" s="20"/>
      <c r="L56" s="95">
        <f t="shared" si="341"/>
        <v>0</v>
      </c>
      <c r="M56" s="120"/>
      <c r="N56" s="19"/>
      <c r="O56" s="57">
        <f t="shared" si="342"/>
        <v>0</v>
      </c>
      <c r="P56" s="20"/>
      <c r="Q56" s="95">
        <f t="shared" si="343"/>
        <v>0</v>
      </c>
      <c r="R56" s="120"/>
      <c r="S56" s="19"/>
      <c r="T56" s="57">
        <f t="shared" si="344"/>
        <v>0</v>
      </c>
      <c r="U56" s="20"/>
      <c r="V56" s="95">
        <f t="shared" si="345"/>
        <v>0</v>
      </c>
      <c r="W56" s="120"/>
      <c r="X56" s="19"/>
      <c r="Y56" s="57">
        <f t="shared" si="346"/>
        <v>0</v>
      </c>
      <c r="Z56" s="20"/>
      <c r="AA56" s="95">
        <f t="shared" si="347"/>
        <v>0</v>
      </c>
      <c r="AB56" s="120"/>
      <c r="AC56" s="19"/>
      <c r="AD56" s="57">
        <f t="shared" si="348"/>
        <v>0</v>
      </c>
      <c r="AE56" s="20"/>
      <c r="AF56" s="95">
        <f t="shared" si="349"/>
        <v>0</v>
      </c>
      <c r="AG56" s="120"/>
      <c r="AH56" s="19"/>
      <c r="AI56" s="57">
        <f t="shared" si="350"/>
        <v>0</v>
      </c>
      <c r="AJ56" s="20"/>
      <c r="AK56" s="95">
        <f t="shared" si="351"/>
        <v>0</v>
      </c>
      <c r="AL56" s="91"/>
      <c r="AM56" s="19"/>
      <c r="AN56" s="57">
        <f t="shared" si="352"/>
        <v>0</v>
      </c>
      <c r="AO56" s="20"/>
      <c r="AP56" s="100">
        <f t="shared" si="353"/>
        <v>0</v>
      </c>
      <c r="AQ56" s="91"/>
      <c r="AR56" s="19"/>
      <c r="AS56" s="57">
        <f t="shared" si="354"/>
        <v>0</v>
      </c>
      <c r="AT56" s="20"/>
      <c r="AU56" s="100">
        <f t="shared" si="355"/>
        <v>0</v>
      </c>
      <c r="AV56" s="91"/>
      <c r="AW56" s="19"/>
      <c r="AX56" s="57">
        <f t="shared" si="356"/>
        <v>0</v>
      </c>
      <c r="AY56" s="20"/>
      <c r="AZ56" s="100">
        <f t="shared" si="357"/>
        <v>0</v>
      </c>
      <c r="BA56" s="91"/>
      <c r="BB56" s="19"/>
      <c r="BC56" s="57">
        <f t="shared" si="358"/>
        <v>0</v>
      </c>
      <c r="BD56" s="20"/>
      <c r="BE56" s="100">
        <f t="shared" si="359"/>
        <v>0</v>
      </c>
      <c r="BF56" s="91"/>
      <c r="BG56" s="19"/>
      <c r="BH56" s="57">
        <f t="shared" si="360"/>
        <v>0</v>
      </c>
      <c r="BI56" s="20"/>
      <c r="BJ56" s="100">
        <f t="shared" si="361"/>
        <v>0</v>
      </c>
      <c r="BK56" s="91"/>
      <c r="BL56" s="19"/>
      <c r="BM56" s="57">
        <f t="shared" si="362"/>
        <v>0</v>
      </c>
      <c r="BN56" s="20"/>
      <c r="BO56" s="100">
        <f t="shared" si="363"/>
        <v>0</v>
      </c>
      <c r="BP56" s="193">
        <v>5625</v>
      </c>
      <c r="BQ56" s="189">
        <v>1</v>
      </c>
      <c r="BR56" s="57">
        <f t="shared" si="364"/>
        <v>5625</v>
      </c>
      <c r="BS56" s="20">
        <v>0</v>
      </c>
      <c r="BT56" s="100">
        <f t="shared" si="365"/>
        <v>5625</v>
      </c>
      <c r="BU56" s="55"/>
      <c r="BV56" s="107">
        <f t="shared" si="396"/>
        <v>0</v>
      </c>
      <c r="BW56" s="91"/>
      <c r="BX56" s="19"/>
      <c r="BY56" s="57">
        <f t="shared" si="366"/>
        <v>0</v>
      </c>
      <c r="BZ56" s="20"/>
      <c r="CA56" s="95">
        <f t="shared" si="367"/>
        <v>0</v>
      </c>
      <c r="CB56" s="120"/>
      <c r="CC56" s="19"/>
      <c r="CD56" s="57">
        <f t="shared" si="368"/>
        <v>0</v>
      </c>
      <c r="CE56" s="20"/>
      <c r="CF56" s="95">
        <f t="shared" si="369"/>
        <v>0</v>
      </c>
      <c r="CG56" s="120"/>
      <c r="CH56" s="19"/>
      <c r="CI56" s="57">
        <f t="shared" si="370"/>
        <v>0</v>
      </c>
      <c r="CJ56" s="20"/>
      <c r="CK56" s="95">
        <f t="shared" si="371"/>
        <v>0</v>
      </c>
      <c r="CL56" s="120"/>
      <c r="CM56" s="19"/>
      <c r="CN56" s="57">
        <f t="shared" si="372"/>
        <v>0</v>
      </c>
      <c r="CO56" s="20"/>
      <c r="CP56" s="95">
        <f t="shared" si="373"/>
        <v>0</v>
      </c>
      <c r="CQ56" s="120"/>
      <c r="CR56" s="19"/>
      <c r="CS56" s="57">
        <f t="shared" ref="CS56:CS59" si="398">SUM(CQ56*CR56)</f>
        <v>0</v>
      </c>
      <c r="CT56" s="20"/>
      <c r="CU56" s="95">
        <f t="shared" si="375"/>
        <v>0</v>
      </c>
      <c r="CV56" s="120"/>
      <c r="CW56" s="19"/>
      <c r="CX56" s="57">
        <f t="shared" si="376"/>
        <v>0</v>
      </c>
      <c r="CY56" s="20"/>
      <c r="CZ56" s="95">
        <f t="shared" si="377"/>
        <v>0</v>
      </c>
      <c r="DA56" s="120"/>
      <c r="DB56" s="19"/>
      <c r="DC56" s="57">
        <f t="shared" si="378"/>
        <v>0</v>
      </c>
      <c r="DD56" s="20"/>
      <c r="DE56" s="95">
        <f t="shared" si="379"/>
        <v>0</v>
      </c>
      <c r="DF56" s="91"/>
      <c r="DG56" s="19"/>
      <c r="DH56" s="57">
        <f t="shared" si="380"/>
        <v>0</v>
      </c>
      <c r="DI56" s="20"/>
      <c r="DJ56" s="100">
        <f t="shared" si="381"/>
        <v>0</v>
      </c>
      <c r="DK56" s="91"/>
      <c r="DL56" s="19"/>
      <c r="DM56" s="57">
        <f t="shared" si="382"/>
        <v>0</v>
      </c>
      <c r="DN56" s="20"/>
      <c r="DO56" s="100">
        <f t="shared" si="383"/>
        <v>0</v>
      </c>
      <c r="DP56" s="91"/>
      <c r="DQ56" s="19"/>
      <c r="DR56" s="57">
        <f t="shared" si="384"/>
        <v>0</v>
      </c>
      <c r="DS56" s="20"/>
      <c r="DT56" s="100">
        <f t="shared" si="385"/>
        <v>0</v>
      </c>
      <c r="DU56" s="91"/>
      <c r="DV56" s="19"/>
      <c r="DW56" s="57">
        <f t="shared" si="386"/>
        <v>0</v>
      </c>
      <c r="DX56" s="20"/>
      <c r="DY56" s="100">
        <f t="shared" si="387"/>
        <v>0</v>
      </c>
      <c r="DZ56" s="91"/>
      <c r="EA56" s="19"/>
      <c r="EB56" s="57">
        <f t="shared" si="388"/>
        <v>0</v>
      </c>
      <c r="EC56" s="20"/>
      <c r="ED56" s="100">
        <f t="shared" si="389"/>
        <v>0</v>
      </c>
      <c r="EE56" s="91"/>
      <c r="EF56" s="19"/>
      <c r="EG56" s="57">
        <f t="shared" si="390"/>
        <v>0</v>
      </c>
      <c r="EH56" s="20"/>
      <c r="EI56" s="100">
        <f t="shared" si="391"/>
        <v>0</v>
      </c>
      <c r="EJ56" s="91"/>
      <c r="EK56" s="19"/>
      <c r="EL56" s="57">
        <f t="shared" si="392"/>
        <v>0</v>
      </c>
      <c r="EM56" s="20"/>
      <c r="EN56" s="100">
        <f t="shared" si="393"/>
        <v>0</v>
      </c>
      <c r="EO56" s="91"/>
      <c r="EP56" s="19"/>
      <c r="EQ56" s="57">
        <f t="shared" si="394"/>
        <v>0</v>
      </c>
      <c r="ER56" s="20"/>
      <c r="ES56" s="100">
        <f t="shared" si="395"/>
        <v>0</v>
      </c>
      <c r="ET56" s="55"/>
      <c r="EU56" s="55"/>
    </row>
    <row r="57" spans="1:151" x14ac:dyDescent="0.25">
      <c r="A57" s="18" t="s">
        <v>139</v>
      </c>
      <c r="B57" s="107">
        <f t="shared" si="337"/>
        <v>97547.5</v>
      </c>
      <c r="C57" s="91"/>
      <c r="D57" s="19"/>
      <c r="E57" s="57">
        <f t="shared" si="338"/>
        <v>0</v>
      </c>
      <c r="F57" s="20"/>
      <c r="G57" s="95">
        <f t="shared" si="339"/>
        <v>0</v>
      </c>
      <c r="H57" s="120"/>
      <c r="I57" s="19"/>
      <c r="J57" s="57">
        <f t="shared" si="340"/>
        <v>0</v>
      </c>
      <c r="K57" s="20"/>
      <c r="L57" s="95">
        <f t="shared" si="341"/>
        <v>0</v>
      </c>
      <c r="M57" s="120"/>
      <c r="N57" s="19"/>
      <c r="O57" s="57">
        <f t="shared" si="342"/>
        <v>0</v>
      </c>
      <c r="P57" s="20"/>
      <c r="Q57" s="95">
        <f t="shared" si="343"/>
        <v>0</v>
      </c>
      <c r="R57" s="120"/>
      <c r="S57" s="19"/>
      <c r="T57" s="57">
        <f t="shared" si="344"/>
        <v>0</v>
      </c>
      <c r="U57" s="20"/>
      <c r="V57" s="95">
        <f t="shared" si="345"/>
        <v>0</v>
      </c>
      <c r="W57" s="120"/>
      <c r="X57" s="19"/>
      <c r="Y57" s="57">
        <f t="shared" si="346"/>
        <v>0</v>
      </c>
      <c r="Z57" s="20"/>
      <c r="AA57" s="95">
        <f t="shared" si="347"/>
        <v>0</v>
      </c>
      <c r="AB57" s="120"/>
      <c r="AC57" s="19"/>
      <c r="AD57" s="57">
        <f t="shared" si="348"/>
        <v>0</v>
      </c>
      <c r="AE57" s="20"/>
      <c r="AF57" s="95">
        <f t="shared" si="349"/>
        <v>0</v>
      </c>
      <c r="AG57" s="120"/>
      <c r="AH57" s="19"/>
      <c r="AI57" s="57">
        <f t="shared" si="350"/>
        <v>0</v>
      </c>
      <c r="AJ57" s="20"/>
      <c r="AK57" s="95">
        <f t="shared" si="351"/>
        <v>0</v>
      </c>
      <c r="AL57" s="91"/>
      <c r="AM57" s="19"/>
      <c r="AN57" s="57">
        <f t="shared" si="352"/>
        <v>0</v>
      </c>
      <c r="AO57" s="20"/>
      <c r="AP57" s="100">
        <f t="shared" si="353"/>
        <v>0</v>
      </c>
      <c r="AQ57" s="91"/>
      <c r="AR57" s="19"/>
      <c r="AS57" s="57">
        <f t="shared" si="354"/>
        <v>0</v>
      </c>
      <c r="AT57" s="20"/>
      <c r="AU57" s="100">
        <f t="shared" si="355"/>
        <v>0</v>
      </c>
      <c r="AV57" s="91"/>
      <c r="AW57" s="19"/>
      <c r="AX57" s="57">
        <f t="shared" si="356"/>
        <v>0</v>
      </c>
      <c r="AY57" s="20"/>
      <c r="AZ57" s="100">
        <f t="shared" si="357"/>
        <v>0</v>
      </c>
      <c r="BA57" s="91"/>
      <c r="BB57" s="19"/>
      <c r="BC57" s="57">
        <f t="shared" si="358"/>
        <v>0</v>
      </c>
      <c r="BD57" s="20"/>
      <c r="BE57" s="100">
        <f t="shared" si="359"/>
        <v>0</v>
      </c>
      <c r="BF57" s="91"/>
      <c r="BG57" s="19"/>
      <c r="BH57" s="57">
        <f t="shared" si="360"/>
        <v>0</v>
      </c>
      <c r="BI57" s="20"/>
      <c r="BJ57" s="100">
        <f t="shared" si="361"/>
        <v>0</v>
      </c>
      <c r="BK57" s="91"/>
      <c r="BL57" s="19"/>
      <c r="BM57" s="57">
        <f t="shared" si="362"/>
        <v>0</v>
      </c>
      <c r="BN57" s="20"/>
      <c r="BO57" s="100">
        <f t="shared" si="363"/>
        <v>0</v>
      </c>
      <c r="BP57" s="193">
        <v>97547.5</v>
      </c>
      <c r="BQ57" s="189">
        <v>1</v>
      </c>
      <c r="BR57" s="57">
        <f t="shared" si="364"/>
        <v>97547.5</v>
      </c>
      <c r="BS57" s="20">
        <v>0</v>
      </c>
      <c r="BT57" s="100">
        <f t="shared" si="365"/>
        <v>97547.5</v>
      </c>
      <c r="BU57" s="55"/>
      <c r="BV57" s="107">
        <f t="shared" si="396"/>
        <v>0</v>
      </c>
      <c r="BW57" s="91"/>
      <c r="BX57" s="19"/>
      <c r="BY57" s="57">
        <f t="shared" si="366"/>
        <v>0</v>
      </c>
      <c r="BZ57" s="20"/>
      <c r="CA57" s="95">
        <f t="shared" si="367"/>
        <v>0</v>
      </c>
      <c r="CB57" s="120"/>
      <c r="CC57" s="19"/>
      <c r="CD57" s="57">
        <f t="shared" si="368"/>
        <v>0</v>
      </c>
      <c r="CE57" s="20"/>
      <c r="CF57" s="95">
        <f t="shared" si="369"/>
        <v>0</v>
      </c>
      <c r="CG57" s="120"/>
      <c r="CH57" s="19"/>
      <c r="CI57" s="57">
        <f t="shared" si="370"/>
        <v>0</v>
      </c>
      <c r="CJ57" s="20"/>
      <c r="CK57" s="95">
        <f t="shared" si="371"/>
        <v>0</v>
      </c>
      <c r="CL57" s="120"/>
      <c r="CM57" s="19"/>
      <c r="CN57" s="57">
        <f t="shared" si="372"/>
        <v>0</v>
      </c>
      <c r="CO57" s="20"/>
      <c r="CP57" s="95">
        <f t="shared" si="373"/>
        <v>0</v>
      </c>
      <c r="CQ57" s="120"/>
      <c r="CR57" s="19"/>
      <c r="CS57" s="57">
        <f t="shared" si="398"/>
        <v>0</v>
      </c>
      <c r="CT57" s="20"/>
      <c r="CU57" s="95">
        <f t="shared" si="375"/>
        <v>0</v>
      </c>
      <c r="CV57" s="120"/>
      <c r="CW57" s="19"/>
      <c r="CX57" s="57">
        <f t="shared" si="376"/>
        <v>0</v>
      </c>
      <c r="CY57" s="20"/>
      <c r="CZ57" s="95">
        <f t="shared" si="377"/>
        <v>0</v>
      </c>
      <c r="DA57" s="120"/>
      <c r="DB57" s="19"/>
      <c r="DC57" s="57">
        <f t="shared" si="378"/>
        <v>0</v>
      </c>
      <c r="DD57" s="20"/>
      <c r="DE57" s="95">
        <f t="shared" si="379"/>
        <v>0</v>
      </c>
      <c r="DF57" s="91"/>
      <c r="DG57" s="19"/>
      <c r="DH57" s="57">
        <f t="shared" si="380"/>
        <v>0</v>
      </c>
      <c r="DI57" s="20"/>
      <c r="DJ57" s="100">
        <f t="shared" si="381"/>
        <v>0</v>
      </c>
      <c r="DK57" s="91"/>
      <c r="DL57" s="19"/>
      <c r="DM57" s="57">
        <f t="shared" si="382"/>
        <v>0</v>
      </c>
      <c r="DN57" s="20"/>
      <c r="DO57" s="100">
        <f t="shared" si="383"/>
        <v>0</v>
      </c>
      <c r="DP57" s="91"/>
      <c r="DQ57" s="19"/>
      <c r="DR57" s="57">
        <f t="shared" si="384"/>
        <v>0</v>
      </c>
      <c r="DS57" s="20"/>
      <c r="DT57" s="100">
        <f t="shared" si="385"/>
        <v>0</v>
      </c>
      <c r="DU57" s="91"/>
      <c r="DV57" s="19"/>
      <c r="DW57" s="57">
        <f t="shared" si="386"/>
        <v>0</v>
      </c>
      <c r="DX57" s="20"/>
      <c r="DY57" s="100">
        <f t="shared" si="387"/>
        <v>0</v>
      </c>
      <c r="DZ57" s="91"/>
      <c r="EA57" s="19"/>
      <c r="EB57" s="57">
        <f t="shared" si="388"/>
        <v>0</v>
      </c>
      <c r="EC57" s="20"/>
      <c r="ED57" s="100">
        <f t="shared" si="389"/>
        <v>0</v>
      </c>
      <c r="EE57" s="91"/>
      <c r="EF57" s="19"/>
      <c r="EG57" s="57">
        <f t="shared" si="390"/>
        <v>0</v>
      </c>
      <c r="EH57" s="20"/>
      <c r="EI57" s="100">
        <f t="shared" si="391"/>
        <v>0</v>
      </c>
      <c r="EJ57" s="91"/>
      <c r="EK57" s="19"/>
      <c r="EL57" s="57">
        <f t="shared" si="392"/>
        <v>0</v>
      </c>
      <c r="EM57" s="20"/>
      <c r="EN57" s="100">
        <f t="shared" si="393"/>
        <v>0</v>
      </c>
      <c r="EO57" s="91"/>
      <c r="EP57" s="19"/>
      <c r="EQ57" s="57">
        <f t="shared" si="394"/>
        <v>0</v>
      </c>
      <c r="ER57" s="20"/>
      <c r="ES57" s="100">
        <f t="shared" si="395"/>
        <v>0</v>
      </c>
      <c r="ET57" s="55"/>
      <c r="EU57" s="55"/>
    </row>
    <row r="58" spans="1:151" x14ac:dyDescent="0.25">
      <c r="A58" s="177" t="s">
        <v>114</v>
      </c>
      <c r="B58" s="107">
        <f t="shared" si="337"/>
        <v>36467.200000000004</v>
      </c>
      <c r="C58" s="91"/>
      <c r="D58" s="19"/>
      <c r="E58" s="57">
        <f t="shared" si="338"/>
        <v>0</v>
      </c>
      <c r="F58" s="20"/>
      <c r="G58" s="95">
        <f t="shared" si="339"/>
        <v>0</v>
      </c>
      <c r="H58" s="120"/>
      <c r="I58" s="19"/>
      <c r="J58" s="57">
        <f t="shared" si="340"/>
        <v>0</v>
      </c>
      <c r="K58" s="20"/>
      <c r="L58" s="95">
        <f t="shared" si="341"/>
        <v>0</v>
      </c>
      <c r="M58" s="190">
        <v>4928</v>
      </c>
      <c r="N58" s="189">
        <v>1</v>
      </c>
      <c r="O58" s="57">
        <f t="shared" si="342"/>
        <v>4928</v>
      </c>
      <c r="P58" s="20">
        <v>0.26</v>
      </c>
      <c r="Q58" s="95">
        <f t="shared" si="343"/>
        <v>3646.7200000000003</v>
      </c>
      <c r="R58" s="190">
        <v>4928</v>
      </c>
      <c r="S58" s="189">
        <v>1</v>
      </c>
      <c r="T58" s="57">
        <f t="shared" si="344"/>
        <v>4928</v>
      </c>
      <c r="U58" s="20">
        <v>0.26</v>
      </c>
      <c r="V58" s="95">
        <f t="shared" si="345"/>
        <v>3646.7200000000003</v>
      </c>
      <c r="W58" s="190">
        <v>4928</v>
      </c>
      <c r="X58" s="189">
        <v>1</v>
      </c>
      <c r="Y58" s="57">
        <f t="shared" si="346"/>
        <v>4928</v>
      </c>
      <c r="Z58" s="20">
        <v>0.26</v>
      </c>
      <c r="AA58" s="95">
        <f t="shared" si="347"/>
        <v>3646.7200000000003</v>
      </c>
      <c r="AB58" s="190">
        <v>4928</v>
      </c>
      <c r="AC58" s="189">
        <v>1</v>
      </c>
      <c r="AD58" s="57">
        <f t="shared" si="348"/>
        <v>4928</v>
      </c>
      <c r="AE58" s="20">
        <v>0.26</v>
      </c>
      <c r="AF58" s="95">
        <f t="shared" si="349"/>
        <v>3646.7200000000003</v>
      </c>
      <c r="AG58" s="190">
        <v>4928</v>
      </c>
      <c r="AH58" s="189">
        <v>1</v>
      </c>
      <c r="AI58" s="57">
        <f t="shared" si="350"/>
        <v>4928</v>
      </c>
      <c r="AJ58" s="20">
        <v>0.26</v>
      </c>
      <c r="AK58" s="95">
        <f t="shared" si="351"/>
        <v>3646.7200000000003</v>
      </c>
      <c r="AL58" s="190">
        <v>4928</v>
      </c>
      <c r="AM58" s="189">
        <v>1</v>
      </c>
      <c r="AN58" s="57">
        <f t="shared" si="352"/>
        <v>4928</v>
      </c>
      <c r="AO58" s="20">
        <v>0.26</v>
      </c>
      <c r="AP58" s="100">
        <f t="shared" si="353"/>
        <v>3646.7200000000003</v>
      </c>
      <c r="AQ58" s="190">
        <v>4928</v>
      </c>
      <c r="AR58" s="189">
        <v>1</v>
      </c>
      <c r="AS58" s="57">
        <f t="shared" si="354"/>
        <v>4928</v>
      </c>
      <c r="AT58" s="20">
        <v>0.26</v>
      </c>
      <c r="AU58" s="100">
        <f t="shared" si="355"/>
        <v>3646.7200000000003</v>
      </c>
      <c r="AV58" s="190">
        <v>4928</v>
      </c>
      <c r="AW58" s="189">
        <v>1</v>
      </c>
      <c r="AX58" s="57">
        <f t="shared" si="356"/>
        <v>4928</v>
      </c>
      <c r="AY58" s="20">
        <v>0.26</v>
      </c>
      <c r="AZ58" s="100">
        <f t="shared" si="357"/>
        <v>3646.7200000000003</v>
      </c>
      <c r="BA58" s="190">
        <v>4928</v>
      </c>
      <c r="BB58" s="189">
        <v>1</v>
      </c>
      <c r="BC58" s="57">
        <f t="shared" si="358"/>
        <v>4928</v>
      </c>
      <c r="BD58" s="20">
        <v>0.26</v>
      </c>
      <c r="BE58" s="100">
        <f t="shared" si="359"/>
        <v>3646.7200000000003</v>
      </c>
      <c r="BF58" s="190">
        <v>4928</v>
      </c>
      <c r="BG58" s="189">
        <v>1</v>
      </c>
      <c r="BH58" s="57">
        <f t="shared" si="360"/>
        <v>4928</v>
      </c>
      <c r="BI58" s="20">
        <v>0.26</v>
      </c>
      <c r="BJ58" s="100">
        <f t="shared" si="361"/>
        <v>3646.7200000000003</v>
      </c>
      <c r="BK58" s="91"/>
      <c r="BL58" s="19"/>
      <c r="BM58" s="57">
        <f t="shared" si="362"/>
        <v>0</v>
      </c>
      <c r="BN58" s="20"/>
      <c r="BO58" s="100">
        <f t="shared" si="363"/>
        <v>0</v>
      </c>
      <c r="BP58" s="91"/>
      <c r="BQ58" s="19"/>
      <c r="BR58" s="57">
        <f t="shared" si="364"/>
        <v>0</v>
      </c>
      <c r="BS58" s="20"/>
      <c r="BT58" s="100">
        <f t="shared" si="365"/>
        <v>0</v>
      </c>
      <c r="BU58" s="55"/>
      <c r="BV58" s="107">
        <f t="shared" si="396"/>
        <v>18233.600000000002</v>
      </c>
      <c r="BW58" s="190">
        <v>4928</v>
      </c>
      <c r="BX58" s="189">
        <v>1</v>
      </c>
      <c r="BY58" s="57">
        <f t="shared" ref="BY58:BY59" si="399">SUM(BW58*BX58)</f>
        <v>4928</v>
      </c>
      <c r="BZ58" s="20">
        <v>0.26</v>
      </c>
      <c r="CA58" s="95">
        <f t="shared" si="367"/>
        <v>3646.7200000000003</v>
      </c>
      <c r="CB58" s="190">
        <v>4928</v>
      </c>
      <c r="CC58" s="189">
        <v>1</v>
      </c>
      <c r="CD58" s="57">
        <f t="shared" si="368"/>
        <v>4928</v>
      </c>
      <c r="CE58" s="20">
        <v>0.26</v>
      </c>
      <c r="CF58" s="95">
        <f t="shared" si="369"/>
        <v>3646.7200000000003</v>
      </c>
      <c r="CG58" s="190">
        <v>4928</v>
      </c>
      <c r="CH58" s="189">
        <v>1</v>
      </c>
      <c r="CI58" s="57">
        <f t="shared" si="370"/>
        <v>4928</v>
      </c>
      <c r="CJ58" s="20">
        <v>0.26</v>
      </c>
      <c r="CK58" s="95">
        <f t="shared" si="371"/>
        <v>3646.7200000000003</v>
      </c>
      <c r="CL58" s="190">
        <v>4928</v>
      </c>
      <c r="CM58" s="189">
        <v>1</v>
      </c>
      <c r="CN58" s="57">
        <f t="shared" si="372"/>
        <v>4928</v>
      </c>
      <c r="CO58" s="20">
        <v>0.26</v>
      </c>
      <c r="CP58" s="95">
        <f t="shared" si="373"/>
        <v>3646.7200000000003</v>
      </c>
      <c r="CQ58" s="190">
        <v>4928</v>
      </c>
      <c r="CR58" s="189">
        <v>1</v>
      </c>
      <c r="CS58" s="57">
        <f t="shared" si="398"/>
        <v>4928</v>
      </c>
      <c r="CT58" s="20">
        <v>0.26</v>
      </c>
      <c r="CU58" s="95">
        <f t="shared" si="375"/>
        <v>3646.7200000000003</v>
      </c>
      <c r="CV58" s="120"/>
      <c r="CW58" s="19"/>
      <c r="CX58" s="57">
        <f t="shared" si="376"/>
        <v>0</v>
      </c>
      <c r="CY58" s="20"/>
      <c r="CZ58" s="95">
        <f t="shared" si="377"/>
        <v>0</v>
      </c>
      <c r="DA58" s="120"/>
      <c r="DB58" s="19"/>
      <c r="DC58" s="57">
        <f t="shared" si="378"/>
        <v>0</v>
      </c>
      <c r="DD58" s="20"/>
      <c r="DE58" s="95">
        <f t="shared" si="379"/>
        <v>0</v>
      </c>
      <c r="DF58" s="91"/>
      <c r="DG58" s="19"/>
      <c r="DH58" s="57">
        <f t="shared" si="380"/>
        <v>0</v>
      </c>
      <c r="DI58" s="20"/>
      <c r="DJ58" s="100">
        <f t="shared" si="381"/>
        <v>0</v>
      </c>
      <c r="DK58" s="91"/>
      <c r="DL58" s="19"/>
      <c r="DM58" s="57">
        <f t="shared" si="382"/>
        <v>0</v>
      </c>
      <c r="DN58" s="20"/>
      <c r="DO58" s="100">
        <f t="shared" si="383"/>
        <v>0</v>
      </c>
      <c r="DP58" s="91"/>
      <c r="DQ58" s="19"/>
      <c r="DR58" s="57">
        <f t="shared" si="384"/>
        <v>0</v>
      </c>
      <c r="DS58" s="20"/>
      <c r="DT58" s="100">
        <f t="shared" si="385"/>
        <v>0</v>
      </c>
      <c r="DU58" s="91"/>
      <c r="DV58" s="19"/>
      <c r="DW58" s="57">
        <f t="shared" si="386"/>
        <v>0</v>
      </c>
      <c r="DX58" s="20"/>
      <c r="DY58" s="100">
        <f t="shared" si="387"/>
        <v>0</v>
      </c>
      <c r="DZ58" s="91"/>
      <c r="EA58" s="19"/>
      <c r="EB58" s="57">
        <f t="shared" si="388"/>
        <v>0</v>
      </c>
      <c r="EC58" s="20"/>
      <c r="ED58" s="100">
        <f t="shared" si="389"/>
        <v>0</v>
      </c>
      <c r="EE58" s="91"/>
      <c r="EF58" s="19"/>
      <c r="EG58" s="57">
        <f t="shared" si="390"/>
        <v>0</v>
      </c>
      <c r="EH58" s="20"/>
      <c r="EI58" s="100">
        <f t="shared" si="391"/>
        <v>0</v>
      </c>
      <c r="EJ58" s="91"/>
      <c r="EK58" s="19"/>
      <c r="EL58" s="57">
        <f t="shared" si="392"/>
        <v>0</v>
      </c>
      <c r="EM58" s="20"/>
      <c r="EN58" s="100">
        <f t="shared" si="393"/>
        <v>0</v>
      </c>
      <c r="EO58" s="91"/>
      <c r="EP58" s="19"/>
      <c r="EQ58" s="57">
        <f t="shared" si="394"/>
        <v>0</v>
      </c>
      <c r="ER58" s="20"/>
      <c r="ES58" s="100">
        <f t="shared" si="395"/>
        <v>0</v>
      </c>
      <c r="ET58" s="55"/>
      <c r="EU58" s="55"/>
    </row>
    <row r="59" spans="1:151" x14ac:dyDescent="0.25">
      <c r="A59" s="177" t="s">
        <v>140</v>
      </c>
      <c r="B59" s="107">
        <f t="shared" si="337"/>
        <v>492481.09999999992</v>
      </c>
      <c r="C59" s="91"/>
      <c r="D59" s="19"/>
      <c r="E59" s="57">
        <f t="shared" si="338"/>
        <v>0</v>
      </c>
      <c r="F59" s="20"/>
      <c r="G59" s="95">
        <f t="shared" si="339"/>
        <v>0</v>
      </c>
      <c r="H59" s="120"/>
      <c r="I59" s="19"/>
      <c r="J59" s="57">
        <f t="shared" si="340"/>
        <v>0</v>
      </c>
      <c r="K59" s="20"/>
      <c r="L59" s="95">
        <f t="shared" si="341"/>
        <v>0</v>
      </c>
      <c r="M59" s="192">
        <v>66551.5</v>
      </c>
      <c r="N59" s="189">
        <v>1</v>
      </c>
      <c r="O59" s="57">
        <f t="shared" si="342"/>
        <v>66551.5</v>
      </c>
      <c r="P59" s="20">
        <v>0.26</v>
      </c>
      <c r="Q59" s="95">
        <f t="shared" si="343"/>
        <v>49248.11</v>
      </c>
      <c r="R59" s="192">
        <v>66551.5</v>
      </c>
      <c r="S59" s="189">
        <v>1</v>
      </c>
      <c r="T59" s="57">
        <f t="shared" si="344"/>
        <v>66551.5</v>
      </c>
      <c r="U59" s="20">
        <v>0.26</v>
      </c>
      <c r="V59" s="95">
        <f t="shared" si="345"/>
        <v>49248.11</v>
      </c>
      <c r="W59" s="192">
        <v>66551.5</v>
      </c>
      <c r="X59" s="189">
        <v>1</v>
      </c>
      <c r="Y59" s="57">
        <f t="shared" si="346"/>
        <v>66551.5</v>
      </c>
      <c r="Z59" s="20">
        <v>0.26</v>
      </c>
      <c r="AA59" s="95">
        <f t="shared" si="347"/>
        <v>49248.11</v>
      </c>
      <c r="AB59" s="192">
        <v>66551.5</v>
      </c>
      <c r="AC59" s="189">
        <v>1</v>
      </c>
      <c r="AD59" s="57">
        <f t="shared" si="348"/>
        <v>66551.5</v>
      </c>
      <c r="AE59" s="20">
        <v>0.26</v>
      </c>
      <c r="AF59" s="95">
        <f t="shared" si="349"/>
        <v>49248.11</v>
      </c>
      <c r="AG59" s="192">
        <v>66551.5</v>
      </c>
      <c r="AH59" s="189">
        <v>1</v>
      </c>
      <c r="AI59" s="57">
        <f t="shared" si="350"/>
        <v>66551.5</v>
      </c>
      <c r="AJ59" s="20">
        <v>0.26</v>
      </c>
      <c r="AK59" s="95">
        <f t="shared" si="351"/>
        <v>49248.11</v>
      </c>
      <c r="AL59" s="192">
        <v>66551.5</v>
      </c>
      <c r="AM59" s="189">
        <v>1</v>
      </c>
      <c r="AN59" s="57">
        <f t="shared" si="352"/>
        <v>66551.5</v>
      </c>
      <c r="AO59" s="20">
        <v>0.26</v>
      </c>
      <c r="AP59" s="100">
        <f t="shared" si="353"/>
        <v>49248.11</v>
      </c>
      <c r="AQ59" s="192">
        <v>66551.5</v>
      </c>
      <c r="AR59" s="189">
        <v>1</v>
      </c>
      <c r="AS59" s="57">
        <f t="shared" si="354"/>
        <v>66551.5</v>
      </c>
      <c r="AT59" s="20">
        <v>0.26</v>
      </c>
      <c r="AU59" s="100">
        <f t="shared" si="355"/>
        <v>49248.11</v>
      </c>
      <c r="AV59" s="192">
        <v>66551.5</v>
      </c>
      <c r="AW59" s="189">
        <v>1</v>
      </c>
      <c r="AX59" s="57">
        <f t="shared" si="356"/>
        <v>66551.5</v>
      </c>
      <c r="AY59" s="20">
        <v>0.26</v>
      </c>
      <c r="AZ59" s="100">
        <f t="shared" si="357"/>
        <v>49248.11</v>
      </c>
      <c r="BA59" s="192">
        <v>66551.5</v>
      </c>
      <c r="BB59" s="189">
        <v>1</v>
      </c>
      <c r="BC59" s="57">
        <f t="shared" si="358"/>
        <v>66551.5</v>
      </c>
      <c r="BD59" s="20">
        <v>0.26</v>
      </c>
      <c r="BE59" s="100">
        <f t="shared" si="359"/>
        <v>49248.11</v>
      </c>
      <c r="BF59" s="192">
        <v>66551.5</v>
      </c>
      <c r="BG59" s="189">
        <v>1</v>
      </c>
      <c r="BH59" s="57">
        <f t="shared" si="360"/>
        <v>66551.5</v>
      </c>
      <c r="BI59" s="20">
        <v>0.26</v>
      </c>
      <c r="BJ59" s="100">
        <f t="shared" si="361"/>
        <v>49248.11</v>
      </c>
      <c r="BK59" s="91"/>
      <c r="BL59" s="19"/>
      <c r="BM59" s="57">
        <f t="shared" si="362"/>
        <v>0</v>
      </c>
      <c r="BN59" s="20"/>
      <c r="BO59" s="100">
        <f t="shared" si="363"/>
        <v>0</v>
      </c>
      <c r="BP59" s="91"/>
      <c r="BQ59" s="19"/>
      <c r="BR59" s="57">
        <f t="shared" si="364"/>
        <v>0</v>
      </c>
      <c r="BS59" s="20"/>
      <c r="BT59" s="100">
        <f t="shared" si="365"/>
        <v>0</v>
      </c>
      <c r="BU59" s="55"/>
      <c r="BV59" s="107">
        <f t="shared" si="396"/>
        <v>246240.55</v>
      </c>
      <c r="BW59" s="192">
        <v>66551.5</v>
      </c>
      <c r="BX59" s="189">
        <v>1</v>
      </c>
      <c r="BY59" s="57">
        <f t="shared" si="399"/>
        <v>66551.5</v>
      </c>
      <c r="BZ59" s="20">
        <v>0.26</v>
      </c>
      <c r="CA59" s="95">
        <f t="shared" si="367"/>
        <v>49248.11</v>
      </c>
      <c r="CB59" s="192">
        <v>66551.5</v>
      </c>
      <c r="CC59" s="189">
        <v>1</v>
      </c>
      <c r="CD59" s="57">
        <f t="shared" si="368"/>
        <v>66551.5</v>
      </c>
      <c r="CE59" s="20">
        <v>0.26</v>
      </c>
      <c r="CF59" s="95">
        <f t="shared" si="369"/>
        <v>49248.11</v>
      </c>
      <c r="CG59" s="192">
        <v>66551.5</v>
      </c>
      <c r="CH59" s="189">
        <v>1</v>
      </c>
      <c r="CI59" s="57">
        <f t="shared" si="370"/>
        <v>66551.5</v>
      </c>
      <c r="CJ59" s="20">
        <v>0.26</v>
      </c>
      <c r="CK59" s="95">
        <f t="shared" si="371"/>
        <v>49248.11</v>
      </c>
      <c r="CL59" s="192">
        <v>66551.5</v>
      </c>
      <c r="CM59" s="189">
        <v>1</v>
      </c>
      <c r="CN59" s="57">
        <f t="shared" si="372"/>
        <v>66551.5</v>
      </c>
      <c r="CO59" s="20">
        <v>0.26</v>
      </c>
      <c r="CP59" s="95">
        <f t="shared" si="373"/>
        <v>49248.11</v>
      </c>
      <c r="CQ59" s="192">
        <v>66551.5</v>
      </c>
      <c r="CR59" s="189">
        <v>1</v>
      </c>
      <c r="CS59" s="57">
        <f t="shared" si="398"/>
        <v>66551.5</v>
      </c>
      <c r="CT59" s="20">
        <v>0.26</v>
      </c>
      <c r="CU59" s="95">
        <f t="shared" si="375"/>
        <v>49248.11</v>
      </c>
      <c r="CV59" s="120"/>
      <c r="CW59" s="19"/>
      <c r="CX59" s="57">
        <f t="shared" si="376"/>
        <v>0</v>
      </c>
      <c r="CY59" s="20"/>
      <c r="CZ59" s="95">
        <f t="shared" si="377"/>
        <v>0</v>
      </c>
      <c r="DA59" s="120"/>
      <c r="DB59" s="19"/>
      <c r="DC59" s="57">
        <f t="shared" si="378"/>
        <v>0</v>
      </c>
      <c r="DD59" s="20"/>
      <c r="DE59" s="95">
        <f t="shared" si="379"/>
        <v>0</v>
      </c>
      <c r="DF59" s="91"/>
      <c r="DG59" s="19"/>
      <c r="DH59" s="57">
        <f t="shared" si="380"/>
        <v>0</v>
      </c>
      <c r="DI59" s="20"/>
      <c r="DJ59" s="100">
        <f t="shared" si="381"/>
        <v>0</v>
      </c>
      <c r="DK59" s="91"/>
      <c r="DL59" s="19"/>
      <c r="DM59" s="57">
        <f t="shared" si="382"/>
        <v>0</v>
      </c>
      <c r="DN59" s="20"/>
      <c r="DO59" s="100">
        <f t="shared" si="383"/>
        <v>0</v>
      </c>
      <c r="DP59" s="91"/>
      <c r="DQ59" s="19"/>
      <c r="DR59" s="57">
        <f t="shared" si="384"/>
        <v>0</v>
      </c>
      <c r="DS59" s="20"/>
      <c r="DT59" s="100">
        <f t="shared" si="385"/>
        <v>0</v>
      </c>
      <c r="DU59" s="91"/>
      <c r="DV59" s="19"/>
      <c r="DW59" s="57">
        <f t="shared" si="386"/>
        <v>0</v>
      </c>
      <c r="DX59" s="20"/>
      <c r="DY59" s="100">
        <f t="shared" si="387"/>
        <v>0</v>
      </c>
      <c r="DZ59" s="91"/>
      <c r="EA59" s="19"/>
      <c r="EB59" s="57">
        <f t="shared" si="388"/>
        <v>0</v>
      </c>
      <c r="EC59" s="20"/>
      <c r="ED59" s="100">
        <f t="shared" si="389"/>
        <v>0</v>
      </c>
      <c r="EE59" s="91"/>
      <c r="EF59" s="19"/>
      <c r="EG59" s="57">
        <f t="shared" si="390"/>
        <v>0</v>
      </c>
      <c r="EH59" s="20"/>
      <c r="EI59" s="100">
        <f t="shared" si="391"/>
        <v>0</v>
      </c>
      <c r="EJ59" s="91"/>
      <c r="EK59" s="19"/>
      <c r="EL59" s="57">
        <f t="shared" si="392"/>
        <v>0</v>
      </c>
      <c r="EM59" s="20"/>
      <c r="EN59" s="100">
        <f t="shared" si="393"/>
        <v>0</v>
      </c>
      <c r="EO59" s="91"/>
      <c r="EP59" s="19"/>
      <c r="EQ59" s="57">
        <f t="shared" si="394"/>
        <v>0</v>
      </c>
      <c r="ER59" s="20"/>
      <c r="ES59" s="100">
        <f t="shared" si="395"/>
        <v>0</v>
      </c>
      <c r="ET59" s="55"/>
      <c r="EU59" s="55"/>
    </row>
    <row r="60" spans="1:151" x14ac:dyDescent="0.25">
      <c r="A60" s="53" t="s">
        <v>107</v>
      </c>
      <c r="B60" s="108">
        <f>SUM(B53:B59)</f>
        <v>671875.45</v>
      </c>
      <c r="C60" s="92"/>
      <c r="D60" s="54"/>
      <c r="E60" s="82"/>
      <c r="F60" s="17"/>
      <c r="G60" s="96">
        <f>SUM(G53:G59)</f>
        <v>0</v>
      </c>
      <c r="H60" s="121"/>
      <c r="I60" s="54"/>
      <c r="J60" s="82"/>
      <c r="K60" s="17"/>
      <c r="L60" s="96">
        <f>SUM(L53:L59)</f>
        <v>0</v>
      </c>
      <c r="M60" s="121"/>
      <c r="N60" s="54"/>
      <c r="O60" s="82"/>
      <c r="P60" s="17"/>
      <c r="Q60" s="96">
        <f>SUM(Q53:Q59)</f>
        <v>56870.294999999998</v>
      </c>
      <c r="R60" s="121"/>
      <c r="S60" s="54"/>
      <c r="T60" s="82"/>
      <c r="U60" s="17"/>
      <c r="V60" s="96">
        <f>SUM(V53:V59)</f>
        <v>56870.294999999998</v>
      </c>
      <c r="W60" s="121"/>
      <c r="X60" s="54"/>
      <c r="Y60" s="82"/>
      <c r="Z60" s="17"/>
      <c r="AA60" s="96">
        <f>SUM(AA53:AA59)</f>
        <v>56870.294999999998</v>
      </c>
      <c r="AB60" s="121"/>
      <c r="AC60" s="54"/>
      <c r="AD60" s="82"/>
      <c r="AE60" s="17"/>
      <c r="AF60" s="96">
        <f>SUM(AF53:AF59)</f>
        <v>56870.294999999998</v>
      </c>
      <c r="AG60" s="121"/>
      <c r="AH60" s="54"/>
      <c r="AI60" s="82"/>
      <c r="AJ60" s="17"/>
      <c r="AK60" s="96">
        <f>SUM(AK53:AK59)</f>
        <v>56870.294999999998</v>
      </c>
      <c r="AL60" s="92"/>
      <c r="AM60" s="54"/>
      <c r="AN60" s="82"/>
      <c r="AO60" s="17"/>
      <c r="AP60" s="96">
        <f>SUM(AP53:AP59)</f>
        <v>56870.294999999998</v>
      </c>
      <c r="AQ60" s="92"/>
      <c r="AR60" s="54"/>
      <c r="AS60" s="82"/>
      <c r="AT60" s="17"/>
      <c r="AU60" s="96">
        <f>SUM(AU53:AU59)</f>
        <v>56870.294999999998</v>
      </c>
      <c r="AV60" s="92"/>
      <c r="AW60" s="54"/>
      <c r="AX60" s="82"/>
      <c r="AY60" s="17"/>
      <c r="AZ60" s="96">
        <f>SUM(AZ53:AZ59)</f>
        <v>56870.294999999998</v>
      </c>
      <c r="BA60" s="92"/>
      <c r="BB60" s="54"/>
      <c r="BC60" s="82"/>
      <c r="BD60" s="17"/>
      <c r="BE60" s="96">
        <f>SUM(BE53:BE59)</f>
        <v>56870.294999999998</v>
      </c>
      <c r="BF60" s="92"/>
      <c r="BG60" s="54"/>
      <c r="BH60" s="82"/>
      <c r="BI60" s="17"/>
      <c r="BJ60" s="96">
        <f>SUM(BJ53:BJ59)</f>
        <v>56870.294999999998</v>
      </c>
      <c r="BK60" s="92"/>
      <c r="BL60" s="54"/>
      <c r="BM60" s="82"/>
      <c r="BN60" s="17"/>
      <c r="BO60" s="96">
        <f>SUM(BO53:BO59)</f>
        <v>0</v>
      </c>
      <c r="BP60" s="92"/>
      <c r="BQ60" s="54"/>
      <c r="BR60" s="82"/>
      <c r="BS60" s="17"/>
      <c r="BT60" s="96">
        <f>SUM(BT53:BT59)</f>
        <v>103172.5</v>
      </c>
      <c r="BU60" s="55"/>
      <c r="BV60" s="108">
        <f>SUM(BV53:BV59)</f>
        <v>284351.47499999998</v>
      </c>
      <c r="BW60" s="92"/>
      <c r="BX60" s="54"/>
      <c r="BY60" s="82"/>
      <c r="BZ60" s="17"/>
      <c r="CA60" s="96">
        <f>SUM(CA53:CA59)</f>
        <v>56870.294999999998</v>
      </c>
      <c r="CB60" s="121"/>
      <c r="CC60" s="54"/>
      <c r="CD60" s="82"/>
      <c r="CE60" s="17"/>
      <c r="CF60" s="96">
        <f>SUM(CF53:CF59)</f>
        <v>56870.294999999998</v>
      </c>
      <c r="CG60" s="121"/>
      <c r="CH60" s="54"/>
      <c r="CI60" s="82"/>
      <c r="CJ60" s="17"/>
      <c r="CK60" s="96">
        <f>SUM(CK53:CK59)</f>
        <v>56870.294999999998</v>
      </c>
      <c r="CL60" s="121"/>
      <c r="CM60" s="54"/>
      <c r="CN60" s="82"/>
      <c r="CO60" s="17"/>
      <c r="CP60" s="96">
        <f>SUM(CP53:CP59)</f>
        <v>56870.294999999998</v>
      </c>
      <c r="CQ60" s="121"/>
      <c r="CR60" s="54"/>
      <c r="CS60" s="82"/>
      <c r="CT60" s="17"/>
      <c r="CU60" s="96">
        <f>SUM(CU53:CU59)</f>
        <v>56870.294999999998</v>
      </c>
      <c r="CV60" s="121"/>
      <c r="CW60" s="54"/>
      <c r="CX60" s="82"/>
      <c r="CY60" s="17"/>
      <c r="CZ60" s="96">
        <f>SUM(CZ53:CZ59)</f>
        <v>0</v>
      </c>
      <c r="DA60" s="121"/>
      <c r="DB60" s="54"/>
      <c r="DC60" s="82"/>
      <c r="DD60" s="17"/>
      <c r="DE60" s="96">
        <f>SUM(DE53:DE59)</f>
        <v>0</v>
      </c>
      <c r="DF60" s="92"/>
      <c r="DG60" s="54"/>
      <c r="DH60" s="82"/>
      <c r="DI60" s="17"/>
      <c r="DJ60" s="96">
        <f>SUM(DJ53:DJ59)</f>
        <v>0</v>
      </c>
      <c r="DK60" s="92"/>
      <c r="DL60" s="54"/>
      <c r="DM60" s="82"/>
      <c r="DN60" s="17"/>
      <c r="DO60" s="96">
        <f>SUM(DO53:DO59)</f>
        <v>0</v>
      </c>
      <c r="DP60" s="92"/>
      <c r="DQ60" s="54"/>
      <c r="DR60" s="82"/>
      <c r="DS60" s="17"/>
      <c r="DT60" s="96">
        <f>SUM(DT53:DT59)</f>
        <v>0</v>
      </c>
      <c r="DU60" s="92"/>
      <c r="DV60" s="54"/>
      <c r="DW60" s="82"/>
      <c r="DX60" s="17"/>
      <c r="DY60" s="96">
        <f>SUM(DY53:DY59)</f>
        <v>0</v>
      </c>
      <c r="DZ60" s="92"/>
      <c r="EA60" s="54"/>
      <c r="EB60" s="82"/>
      <c r="EC60" s="17"/>
      <c r="ED60" s="96">
        <f>SUM(ED53:ED59)</f>
        <v>0</v>
      </c>
      <c r="EE60" s="92"/>
      <c r="EF60" s="54"/>
      <c r="EG60" s="82"/>
      <c r="EH60" s="17"/>
      <c r="EI60" s="96">
        <f>SUM(EI53:EI59)</f>
        <v>0</v>
      </c>
      <c r="EJ60" s="92"/>
      <c r="EK60" s="54"/>
      <c r="EL60" s="82"/>
      <c r="EM60" s="17"/>
      <c r="EN60" s="96">
        <f>SUM(EN53:EN59)</f>
        <v>0</v>
      </c>
      <c r="EO60" s="92"/>
      <c r="EP60" s="54"/>
      <c r="EQ60" s="82"/>
      <c r="ER60" s="17"/>
      <c r="ES60" s="96">
        <f>SUM(ES53:ES59)</f>
        <v>0</v>
      </c>
      <c r="ET60" s="55"/>
      <c r="EU60" s="55"/>
    </row>
    <row r="61" spans="1:151" ht="15.75" x14ac:dyDescent="0.25">
      <c r="A61" s="58" t="s">
        <v>141</v>
      </c>
      <c r="B61" s="106"/>
      <c r="C61" s="90"/>
      <c r="D61" s="16"/>
      <c r="E61" s="81"/>
      <c r="F61" s="17"/>
      <c r="G61" s="94"/>
      <c r="H61" s="103"/>
      <c r="I61" s="16"/>
      <c r="J61" s="81"/>
      <c r="K61" s="17"/>
      <c r="L61" s="94"/>
      <c r="M61" s="103"/>
      <c r="N61" s="16"/>
      <c r="O61" s="81"/>
      <c r="P61" s="17"/>
      <c r="Q61" s="94"/>
      <c r="R61" s="103"/>
      <c r="S61" s="16"/>
      <c r="T61" s="81"/>
      <c r="U61" s="17"/>
      <c r="V61" s="94"/>
      <c r="W61" s="103"/>
      <c r="X61" s="16"/>
      <c r="Y61" s="81"/>
      <c r="Z61" s="17"/>
      <c r="AA61" s="94"/>
      <c r="AB61" s="103"/>
      <c r="AC61" s="16"/>
      <c r="AD61" s="81"/>
      <c r="AE61" s="17"/>
      <c r="AF61" s="94"/>
      <c r="AG61" s="103"/>
      <c r="AH61" s="16"/>
      <c r="AI61" s="81"/>
      <c r="AJ61" s="17"/>
      <c r="AK61" s="94"/>
      <c r="AL61" s="90"/>
      <c r="AM61" s="16"/>
      <c r="AN61" s="81"/>
      <c r="AO61" s="17"/>
      <c r="AP61" s="99"/>
      <c r="AQ61" s="90"/>
      <c r="AR61" s="16"/>
      <c r="AS61" s="81"/>
      <c r="AT61" s="17"/>
      <c r="AU61" s="99"/>
      <c r="AV61" s="90"/>
      <c r="AW61" s="16"/>
      <c r="AX61" s="81"/>
      <c r="AY61" s="17"/>
      <c r="AZ61" s="99"/>
      <c r="BA61" s="90"/>
      <c r="BB61" s="16"/>
      <c r="BC61" s="81"/>
      <c r="BD61" s="17"/>
      <c r="BE61" s="99"/>
      <c r="BF61" s="90"/>
      <c r="BG61" s="16"/>
      <c r="BH61" s="81"/>
      <c r="BI61" s="17"/>
      <c r="BJ61" s="99"/>
      <c r="BK61" s="90"/>
      <c r="BL61" s="16"/>
      <c r="BM61" s="81"/>
      <c r="BN61" s="17"/>
      <c r="BO61" s="99"/>
      <c r="BP61" s="90"/>
      <c r="BQ61" s="16"/>
      <c r="BR61" s="81"/>
      <c r="BS61" s="17"/>
      <c r="BT61" s="99"/>
      <c r="BU61" s="55"/>
      <c r="BV61" s="106"/>
      <c r="BW61" s="90"/>
      <c r="BX61" s="16"/>
      <c r="BY61" s="81"/>
      <c r="BZ61" s="17"/>
      <c r="CA61" s="94"/>
      <c r="CB61" s="103"/>
      <c r="CC61" s="16"/>
      <c r="CD61" s="81"/>
      <c r="CE61" s="17"/>
      <c r="CF61" s="94"/>
      <c r="CG61" s="103"/>
      <c r="CH61" s="16"/>
      <c r="CI61" s="81"/>
      <c r="CJ61" s="17"/>
      <c r="CK61" s="94"/>
      <c r="CL61" s="103"/>
      <c r="CM61" s="16"/>
      <c r="CN61" s="81"/>
      <c r="CO61" s="17"/>
      <c r="CP61" s="94"/>
      <c r="CQ61" s="103"/>
      <c r="CR61" s="16"/>
      <c r="CS61" s="81"/>
      <c r="CT61" s="17"/>
      <c r="CU61" s="94"/>
      <c r="CV61" s="103"/>
      <c r="CW61" s="16"/>
      <c r="CX61" s="81"/>
      <c r="CY61" s="17"/>
      <c r="CZ61" s="94"/>
      <c r="DA61" s="103"/>
      <c r="DB61" s="16"/>
      <c r="DC61" s="81"/>
      <c r="DD61" s="17"/>
      <c r="DE61" s="94"/>
      <c r="DF61" s="90"/>
      <c r="DG61" s="16"/>
      <c r="DH61" s="81"/>
      <c r="DI61" s="17"/>
      <c r="DJ61" s="99"/>
      <c r="DK61" s="90"/>
      <c r="DL61" s="16"/>
      <c r="DM61" s="81"/>
      <c r="DN61" s="17"/>
      <c r="DO61" s="99"/>
      <c r="DP61" s="90"/>
      <c r="DQ61" s="16"/>
      <c r="DR61" s="81"/>
      <c r="DS61" s="17"/>
      <c r="DT61" s="99"/>
      <c r="DU61" s="90"/>
      <c r="DV61" s="16"/>
      <c r="DW61" s="81"/>
      <c r="DX61" s="17"/>
      <c r="DY61" s="99"/>
      <c r="DZ61" s="90"/>
      <c r="EA61" s="16"/>
      <c r="EB61" s="81"/>
      <c r="EC61" s="17"/>
      <c r="ED61" s="99"/>
      <c r="EE61" s="90"/>
      <c r="EF61" s="16"/>
      <c r="EG61" s="81"/>
      <c r="EH61" s="17"/>
      <c r="EI61" s="99"/>
      <c r="EJ61" s="90"/>
      <c r="EK61" s="16"/>
      <c r="EL61" s="81"/>
      <c r="EM61" s="17"/>
      <c r="EN61" s="99"/>
      <c r="EO61" s="90"/>
      <c r="EP61" s="16"/>
      <c r="EQ61" s="81"/>
      <c r="ER61" s="17"/>
      <c r="ES61" s="99"/>
      <c r="ET61" s="55"/>
      <c r="EU61" s="55"/>
    </row>
    <row r="62" spans="1:151" x14ac:dyDescent="0.25">
      <c r="A62" s="186" t="s">
        <v>142</v>
      </c>
      <c r="B62" s="107">
        <f t="shared" ref="B62:B70" si="400">G62+L62+Q62+V62+AA62+AF62+AK62+AP62+AU62+AZ62+BE62+BJ62+BO62+BT62</f>
        <v>385901.27840909088</v>
      </c>
      <c r="C62" s="91"/>
      <c r="D62" s="19"/>
      <c r="E62" s="57">
        <f t="shared" ref="E62:E70" si="401">SUM(C62*D62)</f>
        <v>0</v>
      </c>
      <c r="F62" s="20"/>
      <c r="G62" s="95">
        <f t="shared" ref="G62:G70" si="402">E62-E62*F62</f>
        <v>0</v>
      </c>
      <c r="H62" s="91"/>
      <c r="I62" s="19"/>
      <c r="J62" s="57">
        <f t="shared" ref="J62:J70" si="403">SUM(H62*I62)</f>
        <v>0</v>
      </c>
      <c r="K62" s="20"/>
      <c r="L62" s="95">
        <f t="shared" ref="L62:L69" si="404">J62-J62*K62</f>
        <v>0</v>
      </c>
      <c r="M62" s="120"/>
      <c r="N62" s="19"/>
      <c r="O62" s="57">
        <f t="shared" ref="O62:O69" si="405">SUM(M62*N62)</f>
        <v>0</v>
      </c>
      <c r="P62" s="20">
        <v>0</v>
      </c>
      <c r="Q62" s="95">
        <f t="shared" ref="Q62:Q69" si="406">O62-O62*P62</f>
        <v>0</v>
      </c>
      <c r="R62" s="120"/>
      <c r="S62" s="19"/>
      <c r="T62" s="57">
        <f t="shared" ref="T62:T69" si="407">SUM(R62*S62)</f>
        <v>0</v>
      </c>
      <c r="U62" s="20">
        <v>0</v>
      </c>
      <c r="V62" s="95">
        <f t="shared" ref="V62:V69" si="408">T62-T62*U62</f>
        <v>0</v>
      </c>
      <c r="W62" s="120"/>
      <c r="X62" s="19"/>
      <c r="Y62" s="57">
        <f t="shared" ref="Y62:Y69" si="409">SUM(W62*X62)</f>
        <v>0</v>
      </c>
      <c r="Z62" s="20">
        <v>0</v>
      </c>
      <c r="AA62" s="95">
        <f t="shared" ref="AA62:AA69" si="410">Y62-Y62*Z62</f>
        <v>0</v>
      </c>
      <c r="AB62" s="120"/>
      <c r="AC62" s="19"/>
      <c r="AD62" s="57">
        <f t="shared" ref="AD62:AD69" si="411">SUM(AB62*AC62)</f>
        <v>0</v>
      </c>
      <c r="AE62" s="20">
        <v>0</v>
      </c>
      <c r="AF62" s="95">
        <f t="shared" ref="AF62:AF69" si="412">AD62-AD62*AE62</f>
        <v>0</v>
      </c>
      <c r="AG62" s="192">
        <f>135837.25/1.32*1.25</f>
        <v>128633.75946969696</v>
      </c>
      <c r="AH62" s="189">
        <v>1</v>
      </c>
      <c r="AI62" s="57">
        <f t="shared" ref="AI62:AI69" si="413">SUM(AG62*AH62)</f>
        <v>128633.75946969696</v>
      </c>
      <c r="AJ62" s="20">
        <v>0</v>
      </c>
      <c r="AK62" s="95">
        <f t="shared" ref="AK62:AK69" si="414">AI62-AI62*AJ62</f>
        <v>128633.75946969696</v>
      </c>
      <c r="AL62" s="192">
        <f>135837.25/1.32*1.25</f>
        <v>128633.75946969696</v>
      </c>
      <c r="AM62" s="189">
        <v>1</v>
      </c>
      <c r="AN62" s="57">
        <f t="shared" ref="AN62:AN69" si="415">SUM(AL62*AM62)</f>
        <v>128633.75946969696</v>
      </c>
      <c r="AO62" s="20">
        <v>0</v>
      </c>
      <c r="AP62" s="95">
        <f t="shared" ref="AP62:AP69" si="416">AN62-AN62*AO62</f>
        <v>128633.75946969696</v>
      </c>
      <c r="AQ62" s="120"/>
      <c r="AR62" s="19"/>
      <c r="AS62" s="57">
        <f t="shared" ref="AS62:AS69" si="417">SUM(AQ62*AR62)</f>
        <v>0</v>
      </c>
      <c r="AT62" s="20">
        <v>0</v>
      </c>
      <c r="AU62" s="95">
        <f t="shared" ref="AU62:AU69" si="418">AS62-AS62*AT62</f>
        <v>0</v>
      </c>
      <c r="AV62" s="120"/>
      <c r="AW62" s="19"/>
      <c r="AX62" s="57">
        <f t="shared" ref="AX62:AX69" si="419">SUM(AV62*AW62)</f>
        <v>0</v>
      </c>
      <c r="AY62" s="20">
        <v>0</v>
      </c>
      <c r="AZ62" s="95">
        <f t="shared" ref="AZ62:AZ69" si="420">AX62-AX62*AY62</f>
        <v>0</v>
      </c>
      <c r="BA62" s="192">
        <f>135837.25/1.32*1.25</f>
        <v>128633.75946969696</v>
      </c>
      <c r="BB62" s="189">
        <v>1</v>
      </c>
      <c r="BC62" s="57">
        <f t="shared" ref="BC62:BC69" si="421">SUM(BA62*BB62)</f>
        <v>128633.75946969696</v>
      </c>
      <c r="BD62" s="20">
        <v>0</v>
      </c>
      <c r="BE62" s="95">
        <f t="shared" ref="BE62:BE69" si="422">BC62-BC62*BD62</f>
        <v>128633.75946969696</v>
      </c>
      <c r="BF62" s="120"/>
      <c r="BG62" s="19"/>
      <c r="BH62" s="57">
        <f t="shared" ref="BH62:BH69" si="423">SUM(BF62*BG62)</f>
        <v>0</v>
      </c>
      <c r="BI62" s="20">
        <v>0</v>
      </c>
      <c r="BJ62" s="95">
        <f t="shared" ref="BJ62:BJ69" si="424">BH62-BH62*BI62</f>
        <v>0</v>
      </c>
      <c r="BK62" s="91"/>
      <c r="BL62" s="19"/>
      <c r="BM62" s="57">
        <f t="shared" ref="BM62:BM70" si="425">SUM(BK62*BL62)</f>
        <v>0</v>
      </c>
      <c r="BN62" s="20"/>
      <c r="BO62" s="100">
        <f t="shared" ref="BO62:BO70" si="426">BM62-BM62*BN62</f>
        <v>0</v>
      </c>
      <c r="BP62" s="91"/>
      <c r="BQ62" s="19"/>
      <c r="BR62" s="57">
        <f t="shared" ref="BR62:BR69" si="427">SUM(BP62*BQ62)</f>
        <v>0</v>
      </c>
      <c r="BS62" s="20"/>
      <c r="BT62" s="95">
        <f t="shared" ref="BT62:BT69" si="428">BR62-BR62*BS62</f>
        <v>0</v>
      </c>
      <c r="BU62" s="55"/>
      <c r="BV62" s="107">
        <f>CA62+CF62+CK62+CP62+CU62+CZ62+DE62+DJ62+DO62+DT62+DY62+ED62+EI62+EN62+ES62</f>
        <v>643168.79734848486</v>
      </c>
      <c r="BW62" s="192">
        <f>135837.25/1.32*1.25</f>
        <v>128633.75946969696</v>
      </c>
      <c r="BX62" s="189">
        <v>1</v>
      </c>
      <c r="BY62" s="57">
        <f t="shared" ref="BY62:BY69" si="429">SUM(BW62*BX62)</f>
        <v>128633.75946969696</v>
      </c>
      <c r="BZ62" s="20">
        <v>0</v>
      </c>
      <c r="CA62" s="95">
        <f t="shared" ref="CA62:CA69" si="430">BY62-BY62*BZ62</f>
        <v>128633.75946969696</v>
      </c>
      <c r="CB62" s="192">
        <f>135837.25/1.32*1.25</f>
        <v>128633.75946969696</v>
      </c>
      <c r="CC62" s="189">
        <v>1</v>
      </c>
      <c r="CD62" s="57">
        <f t="shared" ref="CD62:CD69" si="431">SUM(CB62*CC62)</f>
        <v>128633.75946969696</v>
      </c>
      <c r="CE62" s="20">
        <v>0</v>
      </c>
      <c r="CF62" s="95">
        <f t="shared" ref="CF62:CF69" si="432">CD62-CD62*CE62</f>
        <v>128633.75946969696</v>
      </c>
      <c r="CG62" s="192">
        <f>135837.25/1.32*1.25</f>
        <v>128633.75946969696</v>
      </c>
      <c r="CH62" s="189">
        <v>1</v>
      </c>
      <c r="CI62" s="57">
        <f t="shared" ref="CI62:CI69" si="433">SUM(CG62*CH62)</f>
        <v>128633.75946969696</v>
      </c>
      <c r="CJ62" s="20">
        <v>0</v>
      </c>
      <c r="CK62" s="95">
        <f t="shared" ref="CK62:CK69" si="434">CI62-CI62*CJ62</f>
        <v>128633.75946969696</v>
      </c>
      <c r="CL62" s="192">
        <f>135837.25/1.32*1.25</f>
        <v>128633.75946969696</v>
      </c>
      <c r="CM62" s="189">
        <v>1</v>
      </c>
      <c r="CN62" s="57">
        <f t="shared" ref="CN62:CN69" si="435">SUM(CL62*CM62)</f>
        <v>128633.75946969696</v>
      </c>
      <c r="CO62" s="20">
        <v>0</v>
      </c>
      <c r="CP62" s="95">
        <f t="shared" ref="CP62:CP69" si="436">CN62-CN62*CO62</f>
        <v>128633.75946969696</v>
      </c>
      <c r="CQ62" s="192">
        <f>135837.25/1.32*1.25</f>
        <v>128633.75946969696</v>
      </c>
      <c r="CR62" s="189">
        <v>1</v>
      </c>
      <c r="CS62" s="57">
        <f t="shared" ref="CS62:CS69" si="437">SUM(CQ62*CR62)</f>
        <v>128633.75946969696</v>
      </c>
      <c r="CT62" s="20">
        <v>0</v>
      </c>
      <c r="CU62" s="95">
        <f t="shared" ref="CU62:CU69" si="438">CS62-CS62*CT62</f>
        <v>128633.75946969696</v>
      </c>
      <c r="CV62" s="120"/>
      <c r="CW62" s="19"/>
      <c r="CX62" s="57">
        <f t="shared" ref="CX62:CX70" si="439">SUM(CV62*CW62)</f>
        <v>0</v>
      </c>
      <c r="CY62" s="20"/>
      <c r="CZ62" s="95">
        <f t="shared" ref="CZ62:CZ70" si="440">CX62-CX62*CY62</f>
        <v>0</v>
      </c>
      <c r="DA62" s="120"/>
      <c r="DB62" s="19"/>
      <c r="DC62" s="57">
        <f t="shared" ref="DC62:DC70" si="441">SUM(DA62*DB62)</f>
        <v>0</v>
      </c>
      <c r="DD62" s="20"/>
      <c r="DE62" s="95">
        <f t="shared" ref="DE62:DE70" si="442">DC62-DC62*DD62</f>
        <v>0</v>
      </c>
      <c r="DF62" s="91"/>
      <c r="DG62" s="19"/>
      <c r="DH62" s="57">
        <f t="shared" ref="DH62:DH70" si="443">SUM(DF62*DG62)</f>
        <v>0</v>
      </c>
      <c r="DI62" s="20"/>
      <c r="DJ62" s="100">
        <f t="shared" ref="DJ62:DJ70" si="444">DH62-DH62*DI62</f>
        <v>0</v>
      </c>
      <c r="DK62" s="91"/>
      <c r="DL62" s="19"/>
      <c r="DM62" s="57">
        <f t="shared" ref="DM62:DM70" si="445">SUM(DK62*DL62)</f>
        <v>0</v>
      </c>
      <c r="DN62" s="20"/>
      <c r="DO62" s="100">
        <f t="shared" ref="DO62:DO70" si="446">DM62-DM62*DN62</f>
        <v>0</v>
      </c>
      <c r="DP62" s="91"/>
      <c r="DQ62" s="19"/>
      <c r="DR62" s="57">
        <f t="shared" ref="DR62:DR70" si="447">SUM(DP62*DQ62)</f>
        <v>0</v>
      </c>
      <c r="DS62" s="20"/>
      <c r="DT62" s="100">
        <f t="shared" ref="DT62:DT70" si="448">DR62-DR62*DS62</f>
        <v>0</v>
      </c>
      <c r="DU62" s="91"/>
      <c r="DV62" s="19"/>
      <c r="DW62" s="57">
        <f t="shared" ref="DW62:DW70" si="449">SUM(DU62*DV62)</f>
        <v>0</v>
      </c>
      <c r="DX62" s="20"/>
      <c r="DY62" s="100">
        <f t="shared" ref="DY62:DY70" si="450">DW62-DW62*DX62</f>
        <v>0</v>
      </c>
      <c r="DZ62" s="91"/>
      <c r="EA62" s="19"/>
      <c r="EB62" s="57">
        <f t="shared" ref="EB62:EB70" si="451">SUM(DZ62*EA62)</f>
        <v>0</v>
      </c>
      <c r="EC62" s="20"/>
      <c r="ED62" s="100">
        <f t="shared" ref="ED62:ED70" si="452">EB62-EB62*EC62</f>
        <v>0</v>
      </c>
      <c r="EE62" s="91"/>
      <c r="EF62" s="19"/>
      <c r="EG62" s="57">
        <f t="shared" ref="EG62:EG70" si="453">SUM(EE62*EF62)</f>
        <v>0</v>
      </c>
      <c r="EH62" s="20"/>
      <c r="EI62" s="100">
        <f t="shared" ref="EI62:EI70" si="454">EG62-EG62*EH62</f>
        <v>0</v>
      </c>
      <c r="EJ62" s="91"/>
      <c r="EK62" s="19"/>
      <c r="EL62" s="57">
        <f t="shared" ref="EL62:EL70" si="455">SUM(EJ62*EK62)</f>
        <v>0</v>
      </c>
      <c r="EM62" s="20"/>
      <c r="EN62" s="100">
        <f t="shared" ref="EN62:EN70" si="456">EL62-EL62*EM62</f>
        <v>0</v>
      </c>
      <c r="EO62" s="91"/>
      <c r="EP62" s="19"/>
      <c r="EQ62" s="57">
        <f t="shared" ref="EQ62:EQ70" si="457">SUM(EO62*EP62)</f>
        <v>0</v>
      </c>
      <c r="ER62" s="20"/>
      <c r="ES62" s="100">
        <f t="shared" ref="ES62:ES70" si="458">EQ62-EQ62*ER62</f>
        <v>0</v>
      </c>
      <c r="ET62" s="55"/>
      <c r="EU62" s="55"/>
    </row>
    <row r="63" spans="1:151" x14ac:dyDescent="0.25">
      <c r="A63" s="186" t="s">
        <v>143</v>
      </c>
      <c r="B63" s="107">
        <f t="shared" si="400"/>
        <v>619192.47159090906</v>
      </c>
      <c r="C63" s="91"/>
      <c r="D63" s="19"/>
      <c r="E63" s="57">
        <f t="shared" si="401"/>
        <v>0</v>
      </c>
      <c r="F63" s="20"/>
      <c r="G63" s="95">
        <f t="shared" si="402"/>
        <v>0</v>
      </c>
      <c r="H63" s="91"/>
      <c r="I63" s="19"/>
      <c r="J63" s="57">
        <f t="shared" si="403"/>
        <v>0</v>
      </c>
      <c r="K63" s="20"/>
      <c r="L63" s="95">
        <f t="shared" si="404"/>
        <v>0</v>
      </c>
      <c r="M63" s="120"/>
      <c r="N63" s="19"/>
      <c r="O63" s="57">
        <f t="shared" si="405"/>
        <v>0</v>
      </c>
      <c r="P63" s="20">
        <v>0</v>
      </c>
      <c r="Q63" s="95">
        <f t="shared" si="406"/>
        <v>0</v>
      </c>
      <c r="R63" s="120"/>
      <c r="S63" s="19"/>
      <c r="T63" s="57">
        <f t="shared" si="407"/>
        <v>0</v>
      </c>
      <c r="U63" s="20">
        <v>0</v>
      </c>
      <c r="V63" s="95">
        <f t="shared" si="408"/>
        <v>0</v>
      </c>
      <c r="W63" s="120"/>
      <c r="X63" s="19"/>
      <c r="Y63" s="57">
        <f t="shared" si="409"/>
        <v>0</v>
      </c>
      <c r="Z63" s="20">
        <v>0</v>
      </c>
      <c r="AA63" s="95">
        <f t="shared" si="410"/>
        <v>0</v>
      </c>
      <c r="AB63" s="120"/>
      <c r="AC63" s="19"/>
      <c r="AD63" s="57">
        <f t="shared" si="411"/>
        <v>0</v>
      </c>
      <c r="AE63" s="20">
        <v>0</v>
      </c>
      <c r="AF63" s="95">
        <f t="shared" si="412"/>
        <v>0</v>
      </c>
      <c r="AG63" s="192">
        <f>217955.75/1.32*1.25</f>
        <v>206397.49053030301</v>
      </c>
      <c r="AH63" s="189">
        <v>1</v>
      </c>
      <c r="AI63" s="57">
        <f t="shared" si="413"/>
        <v>206397.49053030301</v>
      </c>
      <c r="AJ63" s="20">
        <v>0</v>
      </c>
      <c r="AK63" s="95">
        <f t="shared" si="414"/>
        <v>206397.49053030301</v>
      </c>
      <c r="AL63" s="192">
        <f>217955.75/1.32*1.25</f>
        <v>206397.49053030301</v>
      </c>
      <c r="AM63" s="189">
        <v>1</v>
      </c>
      <c r="AN63" s="57">
        <f t="shared" si="415"/>
        <v>206397.49053030301</v>
      </c>
      <c r="AO63" s="20">
        <v>0</v>
      </c>
      <c r="AP63" s="95">
        <f t="shared" si="416"/>
        <v>206397.49053030301</v>
      </c>
      <c r="AQ63" s="120"/>
      <c r="AR63" s="19"/>
      <c r="AS63" s="57">
        <f t="shared" si="417"/>
        <v>0</v>
      </c>
      <c r="AT63" s="20">
        <v>0</v>
      </c>
      <c r="AU63" s="95">
        <f t="shared" si="418"/>
        <v>0</v>
      </c>
      <c r="AV63" s="120"/>
      <c r="AW63" s="19"/>
      <c r="AX63" s="57">
        <f t="shared" si="419"/>
        <v>0</v>
      </c>
      <c r="AY63" s="20">
        <v>0</v>
      </c>
      <c r="AZ63" s="95">
        <f t="shared" si="420"/>
        <v>0</v>
      </c>
      <c r="BA63" s="192">
        <f>217955.75/1.32*1.25</f>
        <v>206397.49053030301</v>
      </c>
      <c r="BB63" s="189">
        <v>1</v>
      </c>
      <c r="BC63" s="57">
        <f t="shared" si="421"/>
        <v>206397.49053030301</v>
      </c>
      <c r="BD63" s="20">
        <v>0</v>
      </c>
      <c r="BE63" s="95">
        <f t="shared" si="422"/>
        <v>206397.49053030301</v>
      </c>
      <c r="BF63" s="120"/>
      <c r="BG63" s="19"/>
      <c r="BH63" s="57">
        <f t="shared" si="423"/>
        <v>0</v>
      </c>
      <c r="BI63" s="20">
        <v>0</v>
      </c>
      <c r="BJ63" s="95">
        <f t="shared" si="424"/>
        <v>0</v>
      </c>
      <c r="BK63" s="91"/>
      <c r="BL63" s="19"/>
      <c r="BM63" s="57">
        <f t="shared" si="425"/>
        <v>0</v>
      </c>
      <c r="BN63" s="20"/>
      <c r="BO63" s="100">
        <f t="shared" si="426"/>
        <v>0</v>
      </c>
      <c r="BP63" s="91"/>
      <c r="BQ63" s="19"/>
      <c r="BR63" s="57">
        <f t="shared" si="427"/>
        <v>0</v>
      </c>
      <c r="BS63" s="20"/>
      <c r="BT63" s="95">
        <f t="shared" si="428"/>
        <v>0</v>
      </c>
      <c r="BU63" s="55"/>
      <c r="BV63" s="107">
        <f t="shared" ref="BV63:BV70" si="459">CA63+CF63+CK63+CP63+CU63+CZ63+DE63+DJ63+DO63+DT63+DY63+ED63+EI63+EN63+ES63</f>
        <v>1031987.452651515</v>
      </c>
      <c r="BW63" s="192">
        <f>217955.75/1.32*1.25</f>
        <v>206397.49053030301</v>
      </c>
      <c r="BX63" s="189">
        <v>1</v>
      </c>
      <c r="BY63" s="57">
        <f t="shared" si="429"/>
        <v>206397.49053030301</v>
      </c>
      <c r="BZ63" s="20">
        <v>0</v>
      </c>
      <c r="CA63" s="95">
        <f t="shared" si="430"/>
        <v>206397.49053030301</v>
      </c>
      <c r="CB63" s="192">
        <f>217955.75/1.32*1.25</f>
        <v>206397.49053030301</v>
      </c>
      <c r="CC63" s="189">
        <v>1</v>
      </c>
      <c r="CD63" s="57">
        <f t="shared" si="431"/>
        <v>206397.49053030301</v>
      </c>
      <c r="CE63" s="20">
        <v>0</v>
      </c>
      <c r="CF63" s="95">
        <f t="shared" si="432"/>
        <v>206397.49053030301</v>
      </c>
      <c r="CG63" s="192">
        <f>217955.75/1.32*1.25</f>
        <v>206397.49053030301</v>
      </c>
      <c r="CH63" s="189">
        <v>1</v>
      </c>
      <c r="CI63" s="57">
        <f t="shared" si="433"/>
        <v>206397.49053030301</v>
      </c>
      <c r="CJ63" s="20">
        <v>0</v>
      </c>
      <c r="CK63" s="95">
        <f t="shared" si="434"/>
        <v>206397.49053030301</v>
      </c>
      <c r="CL63" s="192">
        <f>217955.75/1.32*1.25</f>
        <v>206397.49053030301</v>
      </c>
      <c r="CM63" s="189">
        <v>1</v>
      </c>
      <c r="CN63" s="57">
        <f t="shared" si="435"/>
        <v>206397.49053030301</v>
      </c>
      <c r="CO63" s="20">
        <v>0</v>
      </c>
      <c r="CP63" s="95">
        <f t="shared" si="436"/>
        <v>206397.49053030301</v>
      </c>
      <c r="CQ63" s="192">
        <f>217955.75/1.32*1.25</f>
        <v>206397.49053030301</v>
      </c>
      <c r="CR63" s="189">
        <v>1</v>
      </c>
      <c r="CS63" s="57">
        <f t="shared" si="437"/>
        <v>206397.49053030301</v>
      </c>
      <c r="CT63" s="20">
        <v>0</v>
      </c>
      <c r="CU63" s="95">
        <f t="shared" si="438"/>
        <v>206397.49053030301</v>
      </c>
      <c r="CV63" s="120"/>
      <c r="CW63" s="19"/>
      <c r="CX63" s="57">
        <f t="shared" si="439"/>
        <v>0</v>
      </c>
      <c r="CY63" s="20"/>
      <c r="CZ63" s="95">
        <f t="shared" si="440"/>
        <v>0</v>
      </c>
      <c r="DA63" s="120"/>
      <c r="DB63" s="19"/>
      <c r="DC63" s="57">
        <f t="shared" si="441"/>
        <v>0</v>
      </c>
      <c r="DD63" s="20"/>
      <c r="DE63" s="95">
        <f t="shared" si="442"/>
        <v>0</v>
      </c>
      <c r="DF63" s="91"/>
      <c r="DG63" s="19"/>
      <c r="DH63" s="57">
        <f t="shared" si="443"/>
        <v>0</v>
      </c>
      <c r="DI63" s="20"/>
      <c r="DJ63" s="100">
        <f t="shared" si="444"/>
        <v>0</v>
      </c>
      <c r="DK63" s="91"/>
      <c r="DL63" s="19"/>
      <c r="DM63" s="57">
        <f t="shared" si="445"/>
        <v>0</v>
      </c>
      <c r="DN63" s="20"/>
      <c r="DO63" s="100">
        <f t="shared" si="446"/>
        <v>0</v>
      </c>
      <c r="DP63" s="91"/>
      <c r="DQ63" s="19"/>
      <c r="DR63" s="57">
        <f t="shared" si="447"/>
        <v>0</v>
      </c>
      <c r="DS63" s="20"/>
      <c r="DT63" s="100">
        <f t="shared" si="448"/>
        <v>0</v>
      </c>
      <c r="DU63" s="91"/>
      <c r="DV63" s="19"/>
      <c r="DW63" s="57">
        <f t="shared" si="449"/>
        <v>0</v>
      </c>
      <c r="DX63" s="20"/>
      <c r="DY63" s="100">
        <f t="shared" si="450"/>
        <v>0</v>
      </c>
      <c r="DZ63" s="91"/>
      <c r="EA63" s="19"/>
      <c r="EB63" s="57">
        <f t="shared" si="451"/>
        <v>0</v>
      </c>
      <c r="EC63" s="20"/>
      <c r="ED63" s="100">
        <f t="shared" si="452"/>
        <v>0</v>
      </c>
      <c r="EE63" s="91"/>
      <c r="EF63" s="19"/>
      <c r="EG63" s="57">
        <f t="shared" si="453"/>
        <v>0</v>
      </c>
      <c r="EH63" s="20"/>
      <c r="EI63" s="100">
        <f t="shared" si="454"/>
        <v>0</v>
      </c>
      <c r="EJ63" s="91"/>
      <c r="EK63" s="19"/>
      <c r="EL63" s="57">
        <f t="shared" si="455"/>
        <v>0</v>
      </c>
      <c r="EM63" s="20"/>
      <c r="EN63" s="100">
        <f t="shared" si="456"/>
        <v>0</v>
      </c>
      <c r="EO63" s="91"/>
      <c r="EP63" s="19"/>
      <c r="EQ63" s="57">
        <f t="shared" si="457"/>
        <v>0</v>
      </c>
      <c r="ER63" s="20"/>
      <c r="ES63" s="100">
        <f t="shared" si="458"/>
        <v>0</v>
      </c>
      <c r="ET63" s="55"/>
      <c r="EU63" s="55"/>
    </row>
    <row r="64" spans="1:151" x14ac:dyDescent="0.25">
      <c r="A64" s="186" t="s">
        <v>144</v>
      </c>
      <c r="B64" s="107">
        <f t="shared" si="400"/>
        <v>164340</v>
      </c>
      <c r="C64" s="91"/>
      <c r="D64" s="19"/>
      <c r="E64" s="57">
        <f t="shared" si="401"/>
        <v>0</v>
      </c>
      <c r="F64" s="20"/>
      <c r="G64" s="95">
        <f t="shared" si="402"/>
        <v>0</v>
      </c>
      <c r="H64" s="91"/>
      <c r="I64" s="19"/>
      <c r="J64" s="57">
        <f t="shared" si="403"/>
        <v>0</v>
      </c>
      <c r="K64" s="20"/>
      <c r="L64" s="95">
        <f t="shared" si="404"/>
        <v>0</v>
      </c>
      <c r="M64" s="120"/>
      <c r="N64" s="19"/>
      <c r="O64" s="57">
        <f t="shared" si="405"/>
        <v>0</v>
      </c>
      <c r="P64" s="20">
        <v>0</v>
      </c>
      <c r="Q64" s="95">
        <f t="shared" si="406"/>
        <v>0</v>
      </c>
      <c r="R64" s="120"/>
      <c r="S64" s="19"/>
      <c r="T64" s="57">
        <f t="shared" si="407"/>
        <v>0</v>
      </c>
      <c r="U64" s="20">
        <v>0</v>
      </c>
      <c r="V64" s="95">
        <f t="shared" si="408"/>
        <v>0</v>
      </c>
      <c r="W64" s="120"/>
      <c r="X64" s="19"/>
      <c r="Y64" s="57">
        <f t="shared" si="409"/>
        <v>0</v>
      </c>
      <c r="Z64" s="20">
        <v>0</v>
      </c>
      <c r="AA64" s="95">
        <f t="shared" si="410"/>
        <v>0</v>
      </c>
      <c r="AB64" s="120"/>
      <c r="AC64" s="19"/>
      <c r="AD64" s="57">
        <f t="shared" si="411"/>
        <v>0</v>
      </c>
      <c r="AE64" s="20">
        <v>0</v>
      </c>
      <c r="AF64" s="95">
        <f t="shared" si="412"/>
        <v>0</v>
      </c>
      <c r="AG64" s="192">
        <v>54780</v>
      </c>
      <c r="AH64" s="189">
        <v>1</v>
      </c>
      <c r="AI64" s="57">
        <f t="shared" si="413"/>
        <v>54780</v>
      </c>
      <c r="AJ64" s="20">
        <v>0</v>
      </c>
      <c r="AK64" s="95">
        <f t="shared" si="414"/>
        <v>54780</v>
      </c>
      <c r="AL64" s="192">
        <v>54780</v>
      </c>
      <c r="AM64" s="189">
        <v>1</v>
      </c>
      <c r="AN64" s="57">
        <f t="shared" si="415"/>
        <v>54780</v>
      </c>
      <c r="AO64" s="20">
        <v>0</v>
      </c>
      <c r="AP64" s="95">
        <f t="shared" si="416"/>
        <v>54780</v>
      </c>
      <c r="AQ64" s="120"/>
      <c r="AR64" s="19"/>
      <c r="AS64" s="57">
        <f t="shared" si="417"/>
        <v>0</v>
      </c>
      <c r="AT64" s="20">
        <v>0</v>
      </c>
      <c r="AU64" s="95">
        <f t="shared" si="418"/>
        <v>0</v>
      </c>
      <c r="AV64" s="120"/>
      <c r="AW64" s="19"/>
      <c r="AX64" s="57">
        <f t="shared" si="419"/>
        <v>0</v>
      </c>
      <c r="AY64" s="20">
        <v>0</v>
      </c>
      <c r="AZ64" s="95">
        <f t="shared" si="420"/>
        <v>0</v>
      </c>
      <c r="BA64" s="192">
        <v>54780</v>
      </c>
      <c r="BB64" s="189">
        <v>1</v>
      </c>
      <c r="BC64" s="57">
        <f t="shared" si="421"/>
        <v>54780</v>
      </c>
      <c r="BD64" s="20">
        <v>0</v>
      </c>
      <c r="BE64" s="95">
        <f t="shared" si="422"/>
        <v>54780</v>
      </c>
      <c r="BF64" s="120"/>
      <c r="BG64" s="19"/>
      <c r="BH64" s="57">
        <f t="shared" si="423"/>
        <v>0</v>
      </c>
      <c r="BI64" s="20">
        <v>0</v>
      </c>
      <c r="BJ64" s="95">
        <f t="shared" si="424"/>
        <v>0</v>
      </c>
      <c r="BK64" s="91"/>
      <c r="BL64" s="19"/>
      <c r="BM64" s="57">
        <f t="shared" si="425"/>
        <v>0</v>
      </c>
      <c r="BN64" s="20"/>
      <c r="BO64" s="100">
        <f t="shared" si="426"/>
        <v>0</v>
      </c>
      <c r="BP64" s="91"/>
      <c r="BQ64" s="19"/>
      <c r="BR64" s="57">
        <f t="shared" si="427"/>
        <v>0</v>
      </c>
      <c r="BS64" s="20"/>
      <c r="BT64" s="95">
        <f t="shared" si="428"/>
        <v>0</v>
      </c>
      <c r="BU64" s="55"/>
      <c r="BV64" s="107">
        <f t="shared" si="459"/>
        <v>273900</v>
      </c>
      <c r="BW64" s="192">
        <v>54780</v>
      </c>
      <c r="BX64" s="189">
        <v>1</v>
      </c>
      <c r="BY64" s="57">
        <f t="shared" si="429"/>
        <v>54780</v>
      </c>
      <c r="BZ64" s="20">
        <v>0</v>
      </c>
      <c r="CA64" s="95">
        <f t="shared" si="430"/>
        <v>54780</v>
      </c>
      <c r="CB64" s="192">
        <v>54780</v>
      </c>
      <c r="CC64" s="189">
        <v>1</v>
      </c>
      <c r="CD64" s="57">
        <f t="shared" si="431"/>
        <v>54780</v>
      </c>
      <c r="CE64" s="20">
        <v>0</v>
      </c>
      <c r="CF64" s="95">
        <f t="shared" si="432"/>
        <v>54780</v>
      </c>
      <c r="CG64" s="192">
        <v>54780</v>
      </c>
      <c r="CH64" s="189">
        <v>1</v>
      </c>
      <c r="CI64" s="57">
        <f t="shared" si="433"/>
        <v>54780</v>
      </c>
      <c r="CJ64" s="20">
        <v>0</v>
      </c>
      <c r="CK64" s="95">
        <f t="shared" si="434"/>
        <v>54780</v>
      </c>
      <c r="CL64" s="192">
        <v>54780</v>
      </c>
      <c r="CM64" s="189">
        <v>1</v>
      </c>
      <c r="CN64" s="57">
        <f t="shared" si="435"/>
        <v>54780</v>
      </c>
      <c r="CO64" s="20">
        <v>0</v>
      </c>
      <c r="CP64" s="95">
        <f t="shared" si="436"/>
        <v>54780</v>
      </c>
      <c r="CQ64" s="192">
        <v>54780</v>
      </c>
      <c r="CR64" s="189">
        <v>1</v>
      </c>
      <c r="CS64" s="57">
        <f t="shared" si="437"/>
        <v>54780</v>
      </c>
      <c r="CT64" s="20">
        <v>0</v>
      </c>
      <c r="CU64" s="95">
        <f t="shared" si="438"/>
        <v>54780</v>
      </c>
      <c r="CV64" s="120"/>
      <c r="CW64" s="19"/>
      <c r="CX64" s="57"/>
      <c r="CY64" s="20"/>
      <c r="CZ64" s="95"/>
      <c r="DA64" s="120"/>
      <c r="DB64" s="19"/>
      <c r="DC64" s="57"/>
      <c r="DD64" s="20"/>
      <c r="DE64" s="95"/>
      <c r="DF64" s="91"/>
      <c r="DG64" s="19"/>
      <c r="DH64" s="57"/>
      <c r="DI64" s="20"/>
      <c r="DJ64" s="100"/>
      <c r="DK64" s="91"/>
      <c r="DL64" s="19"/>
      <c r="DM64" s="57"/>
      <c r="DN64" s="20"/>
      <c r="DO64" s="100"/>
      <c r="DP64" s="91"/>
      <c r="DQ64" s="19"/>
      <c r="DR64" s="57"/>
      <c r="DS64" s="20"/>
      <c r="DT64" s="100"/>
      <c r="DU64" s="91"/>
      <c r="DV64" s="19"/>
      <c r="DW64" s="57"/>
      <c r="DX64" s="20"/>
      <c r="DY64" s="100"/>
      <c r="DZ64" s="91"/>
      <c r="EA64" s="19"/>
      <c r="EB64" s="57"/>
      <c r="EC64" s="20"/>
      <c r="ED64" s="100"/>
      <c r="EE64" s="91"/>
      <c r="EF64" s="19"/>
      <c r="EG64" s="57"/>
      <c r="EH64" s="20"/>
      <c r="EI64" s="100"/>
      <c r="EJ64" s="91"/>
      <c r="EK64" s="19"/>
      <c r="EL64" s="57"/>
      <c r="EM64" s="20"/>
      <c r="EN64" s="100"/>
      <c r="EO64" s="91"/>
      <c r="EP64" s="19"/>
      <c r="EQ64" s="57"/>
      <c r="ER64" s="20"/>
      <c r="ES64" s="100"/>
      <c r="ET64" s="55"/>
      <c r="EU64" s="55"/>
    </row>
    <row r="65" spans="1:151" x14ac:dyDescent="0.25">
      <c r="A65" s="186" t="s">
        <v>145</v>
      </c>
      <c r="B65" s="107">
        <f t="shared" si="400"/>
        <v>123075</v>
      </c>
      <c r="C65" s="91"/>
      <c r="D65" s="19"/>
      <c r="E65" s="57">
        <f t="shared" si="401"/>
        <v>0</v>
      </c>
      <c r="F65" s="20"/>
      <c r="G65" s="95">
        <f t="shared" si="402"/>
        <v>0</v>
      </c>
      <c r="H65" s="91"/>
      <c r="I65" s="19"/>
      <c r="J65" s="57">
        <f t="shared" si="403"/>
        <v>0</v>
      </c>
      <c r="K65" s="20"/>
      <c r="L65" s="95">
        <f t="shared" si="404"/>
        <v>0</v>
      </c>
      <c r="M65" s="120"/>
      <c r="N65" s="19"/>
      <c r="O65" s="57">
        <f t="shared" si="405"/>
        <v>0</v>
      </c>
      <c r="P65" s="20">
        <v>0</v>
      </c>
      <c r="Q65" s="95">
        <f t="shared" si="406"/>
        <v>0</v>
      </c>
      <c r="R65" s="120"/>
      <c r="S65" s="19"/>
      <c r="T65" s="57">
        <f t="shared" si="407"/>
        <v>0</v>
      </c>
      <c r="U65" s="20">
        <v>0</v>
      </c>
      <c r="V65" s="95">
        <f t="shared" si="408"/>
        <v>0</v>
      </c>
      <c r="W65" s="120"/>
      <c r="X65" s="19"/>
      <c r="Y65" s="57">
        <f t="shared" si="409"/>
        <v>0</v>
      </c>
      <c r="Z65" s="20">
        <v>0</v>
      </c>
      <c r="AA65" s="95">
        <f t="shared" si="410"/>
        <v>0</v>
      </c>
      <c r="AB65" s="120"/>
      <c r="AC65" s="19"/>
      <c r="AD65" s="57">
        <f t="shared" si="411"/>
        <v>0</v>
      </c>
      <c r="AE65" s="20">
        <v>0</v>
      </c>
      <c r="AF65" s="95">
        <f t="shared" si="412"/>
        <v>0</v>
      </c>
      <c r="AG65" s="192">
        <f>43322.4/1.32*1.25</f>
        <v>41025</v>
      </c>
      <c r="AH65" s="189">
        <v>1</v>
      </c>
      <c r="AI65" s="57">
        <f t="shared" si="413"/>
        <v>41025</v>
      </c>
      <c r="AJ65" s="20">
        <v>0</v>
      </c>
      <c r="AK65" s="95">
        <f t="shared" si="414"/>
        <v>41025</v>
      </c>
      <c r="AL65" s="192">
        <f>43322.4/1.32*1.25</f>
        <v>41025</v>
      </c>
      <c r="AM65" s="189">
        <v>1</v>
      </c>
      <c r="AN65" s="57">
        <f t="shared" si="415"/>
        <v>41025</v>
      </c>
      <c r="AO65" s="20">
        <v>0</v>
      </c>
      <c r="AP65" s="95">
        <f t="shared" si="416"/>
        <v>41025</v>
      </c>
      <c r="AQ65" s="120"/>
      <c r="AR65" s="19"/>
      <c r="AS65" s="57">
        <f t="shared" si="417"/>
        <v>0</v>
      </c>
      <c r="AT65" s="20">
        <v>0</v>
      </c>
      <c r="AU65" s="95">
        <f t="shared" si="418"/>
        <v>0</v>
      </c>
      <c r="AV65" s="120"/>
      <c r="AW65" s="19"/>
      <c r="AX65" s="57">
        <f t="shared" si="419"/>
        <v>0</v>
      </c>
      <c r="AY65" s="20">
        <v>0</v>
      </c>
      <c r="AZ65" s="95">
        <f t="shared" si="420"/>
        <v>0</v>
      </c>
      <c r="BA65" s="192">
        <f>43322.4/1.32*1.25</f>
        <v>41025</v>
      </c>
      <c r="BB65" s="189">
        <v>1</v>
      </c>
      <c r="BC65" s="57">
        <f t="shared" si="421"/>
        <v>41025</v>
      </c>
      <c r="BD65" s="20">
        <v>0</v>
      </c>
      <c r="BE65" s="95">
        <f t="shared" si="422"/>
        <v>41025</v>
      </c>
      <c r="BF65" s="120"/>
      <c r="BG65" s="19"/>
      <c r="BH65" s="57">
        <f t="shared" si="423"/>
        <v>0</v>
      </c>
      <c r="BI65" s="20">
        <v>0</v>
      </c>
      <c r="BJ65" s="95">
        <f t="shared" si="424"/>
        <v>0</v>
      </c>
      <c r="BK65" s="91"/>
      <c r="BL65" s="19"/>
      <c r="BM65" s="57">
        <f t="shared" si="425"/>
        <v>0</v>
      </c>
      <c r="BN65" s="20"/>
      <c r="BO65" s="100">
        <f t="shared" si="426"/>
        <v>0</v>
      </c>
      <c r="BP65" s="91"/>
      <c r="BQ65" s="19"/>
      <c r="BR65" s="57">
        <f t="shared" si="427"/>
        <v>0</v>
      </c>
      <c r="BS65" s="20"/>
      <c r="BT65" s="95">
        <f t="shared" si="428"/>
        <v>0</v>
      </c>
      <c r="BU65" s="55"/>
      <c r="BV65" s="107">
        <f t="shared" si="459"/>
        <v>205125</v>
      </c>
      <c r="BW65" s="192">
        <f>43322.4/1.32*1.25</f>
        <v>41025</v>
      </c>
      <c r="BX65" s="189">
        <v>1</v>
      </c>
      <c r="BY65" s="57">
        <f t="shared" si="429"/>
        <v>41025</v>
      </c>
      <c r="BZ65" s="20">
        <v>0</v>
      </c>
      <c r="CA65" s="95">
        <f t="shared" si="430"/>
        <v>41025</v>
      </c>
      <c r="CB65" s="192">
        <f>43322.4/1.32*1.25</f>
        <v>41025</v>
      </c>
      <c r="CC65" s="189">
        <v>1</v>
      </c>
      <c r="CD65" s="57">
        <f t="shared" si="431"/>
        <v>41025</v>
      </c>
      <c r="CE65" s="20">
        <v>0</v>
      </c>
      <c r="CF65" s="95">
        <f t="shared" si="432"/>
        <v>41025</v>
      </c>
      <c r="CG65" s="192">
        <f>43322.4/1.32*1.25</f>
        <v>41025</v>
      </c>
      <c r="CH65" s="189">
        <v>1</v>
      </c>
      <c r="CI65" s="57">
        <f t="shared" si="433"/>
        <v>41025</v>
      </c>
      <c r="CJ65" s="20">
        <v>0</v>
      </c>
      <c r="CK65" s="95">
        <f t="shared" si="434"/>
        <v>41025</v>
      </c>
      <c r="CL65" s="192">
        <f>43322.4/1.32*1.25</f>
        <v>41025</v>
      </c>
      <c r="CM65" s="189">
        <v>1</v>
      </c>
      <c r="CN65" s="57">
        <f t="shared" si="435"/>
        <v>41025</v>
      </c>
      <c r="CO65" s="20">
        <v>0</v>
      </c>
      <c r="CP65" s="95">
        <f t="shared" si="436"/>
        <v>41025</v>
      </c>
      <c r="CQ65" s="192">
        <f>43322.4/1.32*1.25</f>
        <v>41025</v>
      </c>
      <c r="CR65" s="189">
        <v>1</v>
      </c>
      <c r="CS65" s="57">
        <f t="shared" si="437"/>
        <v>41025</v>
      </c>
      <c r="CT65" s="20">
        <v>0</v>
      </c>
      <c r="CU65" s="95">
        <f t="shared" si="438"/>
        <v>41025</v>
      </c>
      <c r="CV65" s="120"/>
      <c r="CW65" s="19"/>
      <c r="CX65" s="57"/>
      <c r="CY65" s="20"/>
      <c r="CZ65" s="95"/>
      <c r="DA65" s="120"/>
      <c r="DB65" s="19"/>
      <c r="DC65" s="57"/>
      <c r="DD65" s="20"/>
      <c r="DE65" s="95"/>
      <c r="DF65" s="91"/>
      <c r="DG65" s="19"/>
      <c r="DH65" s="57"/>
      <c r="DI65" s="20"/>
      <c r="DJ65" s="100"/>
      <c r="DK65" s="91"/>
      <c r="DL65" s="19"/>
      <c r="DM65" s="57"/>
      <c r="DN65" s="20"/>
      <c r="DO65" s="100"/>
      <c r="DP65" s="91"/>
      <c r="DQ65" s="19"/>
      <c r="DR65" s="57"/>
      <c r="DS65" s="20"/>
      <c r="DT65" s="100"/>
      <c r="DU65" s="91"/>
      <c r="DV65" s="19"/>
      <c r="DW65" s="57"/>
      <c r="DX65" s="20"/>
      <c r="DY65" s="100"/>
      <c r="DZ65" s="91"/>
      <c r="EA65" s="19"/>
      <c r="EB65" s="57"/>
      <c r="EC65" s="20"/>
      <c r="ED65" s="100"/>
      <c r="EE65" s="91"/>
      <c r="EF65" s="19"/>
      <c r="EG65" s="57"/>
      <c r="EH65" s="20"/>
      <c r="EI65" s="100"/>
      <c r="EJ65" s="91"/>
      <c r="EK65" s="19"/>
      <c r="EL65" s="57"/>
      <c r="EM65" s="20"/>
      <c r="EN65" s="100"/>
      <c r="EO65" s="91"/>
      <c r="EP65" s="19"/>
      <c r="EQ65" s="57"/>
      <c r="ER65" s="20"/>
      <c r="ES65" s="100"/>
      <c r="ET65" s="55"/>
      <c r="EU65" s="55"/>
    </row>
    <row r="66" spans="1:151" x14ac:dyDescent="0.25">
      <c r="A66" s="186" t="s">
        <v>146</v>
      </c>
      <c r="B66" s="107">
        <f t="shared" si="400"/>
        <v>70290</v>
      </c>
      <c r="C66" s="91"/>
      <c r="D66" s="19"/>
      <c r="E66" s="57">
        <f t="shared" si="401"/>
        <v>0</v>
      </c>
      <c r="F66" s="20"/>
      <c r="G66" s="95">
        <f t="shared" si="402"/>
        <v>0</v>
      </c>
      <c r="H66" s="91"/>
      <c r="I66" s="19"/>
      <c r="J66" s="57">
        <f t="shared" si="403"/>
        <v>0</v>
      </c>
      <c r="K66" s="20"/>
      <c r="L66" s="95">
        <f t="shared" si="404"/>
        <v>0</v>
      </c>
      <c r="M66" s="192">
        <f>1500*1.32</f>
        <v>1980</v>
      </c>
      <c r="N66" s="189">
        <v>1</v>
      </c>
      <c r="O66" s="57">
        <f t="shared" si="405"/>
        <v>1980</v>
      </c>
      <c r="P66" s="20">
        <v>0</v>
      </c>
      <c r="Q66" s="95">
        <f t="shared" si="406"/>
        <v>1980</v>
      </c>
      <c r="R66" s="192">
        <f>1500*1.32</f>
        <v>1980</v>
      </c>
      <c r="S66" s="189">
        <v>1</v>
      </c>
      <c r="T66" s="57">
        <f t="shared" si="407"/>
        <v>1980</v>
      </c>
      <c r="U66" s="20">
        <v>0</v>
      </c>
      <c r="V66" s="95">
        <f t="shared" si="408"/>
        <v>1980</v>
      </c>
      <c r="W66" s="192">
        <f>1500*1.32</f>
        <v>1980</v>
      </c>
      <c r="X66" s="189">
        <v>1</v>
      </c>
      <c r="Y66" s="57">
        <f t="shared" si="409"/>
        <v>1980</v>
      </c>
      <c r="Z66" s="20">
        <v>0</v>
      </c>
      <c r="AA66" s="95">
        <f t="shared" si="410"/>
        <v>1980</v>
      </c>
      <c r="AB66" s="192">
        <f>1500*1.32</f>
        <v>1980</v>
      </c>
      <c r="AC66" s="189">
        <v>1</v>
      </c>
      <c r="AD66" s="57">
        <f t="shared" si="411"/>
        <v>1980</v>
      </c>
      <c r="AE66" s="20">
        <v>0</v>
      </c>
      <c r="AF66" s="95">
        <f t="shared" si="412"/>
        <v>1980</v>
      </c>
      <c r="AG66" s="192">
        <v>18810</v>
      </c>
      <c r="AH66" s="189">
        <v>1</v>
      </c>
      <c r="AI66" s="57">
        <f t="shared" si="413"/>
        <v>18810</v>
      </c>
      <c r="AJ66" s="20">
        <v>0</v>
      </c>
      <c r="AK66" s="95">
        <f t="shared" si="414"/>
        <v>18810</v>
      </c>
      <c r="AL66" s="192">
        <v>18810</v>
      </c>
      <c r="AM66" s="189">
        <v>1</v>
      </c>
      <c r="AN66" s="57">
        <f t="shared" si="415"/>
        <v>18810</v>
      </c>
      <c r="AO66" s="20">
        <v>0</v>
      </c>
      <c r="AP66" s="95">
        <f t="shared" si="416"/>
        <v>18810</v>
      </c>
      <c r="AQ66" s="192">
        <f>1500*1.32</f>
        <v>1980</v>
      </c>
      <c r="AR66" s="189">
        <v>1</v>
      </c>
      <c r="AS66" s="57">
        <f t="shared" si="417"/>
        <v>1980</v>
      </c>
      <c r="AT66" s="20">
        <v>0</v>
      </c>
      <c r="AU66" s="95">
        <f t="shared" si="418"/>
        <v>1980</v>
      </c>
      <c r="AV66" s="192">
        <f>1500*1.32</f>
        <v>1980</v>
      </c>
      <c r="AW66" s="189">
        <v>1</v>
      </c>
      <c r="AX66" s="57">
        <f t="shared" si="419"/>
        <v>1980</v>
      </c>
      <c r="AY66" s="20">
        <v>0</v>
      </c>
      <c r="AZ66" s="95">
        <f t="shared" si="420"/>
        <v>1980</v>
      </c>
      <c r="BA66" s="192">
        <v>18810</v>
      </c>
      <c r="BB66" s="189">
        <v>1</v>
      </c>
      <c r="BC66" s="57">
        <f t="shared" si="421"/>
        <v>18810</v>
      </c>
      <c r="BD66" s="20">
        <v>0</v>
      </c>
      <c r="BE66" s="95">
        <f t="shared" si="422"/>
        <v>18810</v>
      </c>
      <c r="BF66" s="192">
        <f>1500*1.32</f>
        <v>1980</v>
      </c>
      <c r="BG66" s="189">
        <v>1</v>
      </c>
      <c r="BH66" s="57">
        <f t="shared" si="423"/>
        <v>1980</v>
      </c>
      <c r="BI66" s="20">
        <v>0</v>
      </c>
      <c r="BJ66" s="95">
        <f t="shared" si="424"/>
        <v>1980</v>
      </c>
      <c r="BK66" s="91"/>
      <c r="BL66" s="19"/>
      <c r="BM66" s="57">
        <f t="shared" si="425"/>
        <v>0</v>
      </c>
      <c r="BN66" s="20"/>
      <c r="BO66" s="100">
        <f t="shared" si="426"/>
        <v>0</v>
      </c>
      <c r="BP66" s="91"/>
      <c r="BQ66" s="19"/>
      <c r="BR66" s="57">
        <f t="shared" si="427"/>
        <v>0</v>
      </c>
      <c r="BS66" s="20"/>
      <c r="BT66" s="95">
        <f t="shared" si="428"/>
        <v>0</v>
      </c>
      <c r="BU66" s="55"/>
      <c r="BV66" s="107">
        <f t="shared" si="459"/>
        <v>94050</v>
      </c>
      <c r="BW66" s="192">
        <v>18810</v>
      </c>
      <c r="BX66" s="189">
        <v>1</v>
      </c>
      <c r="BY66" s="57">
        <f t="shared" si="429"/>
        <v>18810</v>
      </c>
      <c r="BZ66" s="20">
        <v>0</v>
      </c>
      <c r="CA66" s="95">
        <f t="shared" si="430"/>
        <v>18810</v>
      </c>
      <c r="CB66" s="192">
        <v>18810</v>
      </c>
      <c r="CC66" s="189">
        <v>1</v>
      </c>
      <c r="CD66" s="57">
        <f t="shared" si="431"/>
        <v>18810</v>
      </c>
      <c r="CE66" s="20">
        <v>0</v>
      </c>
      <c r="CF66" s="95">
        <f t="shared" si="432"/>
        <v>18810</v>
      </c>
      <c r="CG66" s="192">
        <v>18810</v>
      </c>
      <c r="CH66" s="189">
        <v>1</v>
      </c>
      <c r="CI66" s="57">
        <f t="shared" si="433"/>
        <v>18810</v>
      </c>
      <c r="CJ66" s="20">
        <v>0</v>
      </c>
      <c r="CK66" s="95">
        <f t="shared" si="434"/>
        <v>18810</v>
      </c>
      <c r="CL66" s="192">
        <v>18810</v>
      </c>
      <c r="CM66" s="189">
        <v>1</v>
      </c>
      <c r="CN66" s="57">
        <f t="shared" si="435"/>
        <v>18810</v>
      </c>
      <c r="CO66" s="20">
        <v>0</v>
      </c>
      <c r="CP66" s="95">
        <f t="shared" si="436"/>
        <v>18810</v>
      </c>
      <c r="CQ66" s="192">
        <v>18810</v>
      </c>
      <c r="CR66" s="189">
        <v>1</v>
      </c>
      <c r="CS66" s="57">
        <f t="shared" si="437"/>
        <v>18810</v>
      </c>
      <c r="CT66" s="20">
        <v>0</v>
      </c>
      <c r="CU66" s="95">
        <f t="shared" si="438"/>
        <v>18810</v>
      </c>
      <c r="CV66" s="120"/>
      <c r="CW66" s="19"/>
      <c r="CX66" s="57">
        <f t="shared" si="439"/>
        <v>0</v>
      </c>
      <c r="CY66" s="20"/>
      <c r="CZ66" s="95">
        <f t="shared" si="440"/>
        <v>0</v>
      </c>
      <c r="DA66" s="120"/>
      <c r="DB66" s="19"/>
      <c r="DC66" s="57">
        <f t="shared" si="441"/>
        <v>0</v>
      </c>
      <c r="DD66" s="20"/>
      <c r="DE66" s="95">
        <f t="shared" si="442"/>
        <v>0</v>
      </c>
      <c r="DF66" s="91"/>
      <c r="DG66" s="19"/>
      <c r="DH66" s="57">
        <f t="shared" si="443"/>
        <v>0</v>
      </c>
      <c r="DI66" s="20"/>
      <c r="DJ66" s="100">
        <f t="shared" si="444"/>
        <v>0</v>
      </c>
      <c r="DK66" s="91"/>
      <c r="DL66" s="19"/>
      <c r="DM66" s="57">
        <f t="shared" si="445"/>
        <v>0</v>
      </c>
      <c r="DN66" s="20"/>
      <c r="DO66" s="100">
        <f t="shared" si="446"/>
        <v>0</v>
      </c>
      <c r="DP66" s="91"/>
      <c r="DQ66" s="19"/>
      <c r="DR66" s="57">
        <f t="shared" si="447"/>
        <v>0</v>
      </c>
      <c r="DS66" s="20"/>
      <c r="DT66" s="100">
        <f t="shared" si="448"/>
        <v>0</v>
      </c>
      <c r="DU66" s="91"/>
      <c r="DV66" s="19"/>
      <c r="DW66" s="57">
        <f t="shared" si="449"/>
        <v>0</v>
      </c>
      <c r="DX66" s="20"/>
      <c r="DY66" s="100">
        <f t="shared" si="450"/>
        <v>0</v>
      </c>
      <c r="DZ66" s="91"/>
      <c r="EA66" s="19"/>
      <c r="EB66" s="57">
        <f t="shared" si="451"/>
        <v>0</v>
      </c>
      <c r="EC66" s="20"/>
      <c r="ED66" s="100">
        <f t="shared" si="452"/>
        <v>0</v>
      </c>
      <c r="EE66" s="91"/>
      <c r="EF66" s="19"/>
      <c r="EG66" s="57">
        <f t="shared" si="453"/>
        <v>0</v>
      </c>
      <c r="EH66" s="20"/>
      <c r="EI66" s="100">
        <f t="shared" si="454"/>
        <v>0</v>
      </c>
      <c r="EJ66" s="91"/>
      <c r="EK66" s="19"/>
      <c r="EL66" s="57">
        <f t="shared" si="455"/>
        <v>0</v>
      </c>
      <c r="EM66" s="20"/>
      <c r="EN66" s="100">
        <f t="shared" si="456"/>
        <v>0</v>
      </c>
      <c r="EO66" s="91"/>
      <c r="EP66" s="19"/>
      <c r="EQ66" s="57">
        <f t="shared" si="457"/>
        <v>0</v>
      </c>
      <c r="ER66" s="20"/>
      <c r="ES66" s="100">
        <f t="shared" si="458"/>
        <v>0</v>
      </c>
      <c r="ET66" s="55"/>
      <c r="EU66" s="55"/>
    </row>
    <row r="67" spans="1:151" x14ac:dyDescent="0.25">
      <c r="A67" s="186" t="s">
        <v>147</v>
      </c>
      <c r="B67" s="107">
        <f t="shared" si="400"/>
        <v>180757.38636363635</v>
      </c>
      <c r="C67" s="91"/>
      <c r="D67" s="19"/>
      <c r="E67" s="57">
        <f t="shared" si="401"/>
        <v>0</v>
      </c>
      <c r="F67" s="20"/>
      <c r="G67" s="95">
        <f t="shared" si="402"/>
        <v>0</v>
      </c>
      <c r="H67" s="91"/>
      <c r="I67" s="19"/>
      <c r="J67" s="57">
        <f t="shared" si="403"/>
        <v>0</v>
      </c>
      <c r="K67" s="20"/>
      <c r="L67" s="95">
        <f t="shared" si="404"/>
        <v>0</v>
      </c>
      <c r="M67" s="120"/>
      <c r="N67" s="19"/>
      <c r="O67" s="57">
        <f t="shared" si="405"/>
        <v>0</v>
      </c>
      <c r="P67" s="20">
        <v>0</v>
      </c>
      <c r="Q67" s="95">
        <f t="shared" si="406"/>
        <v>0</v>
      </c>
      <c r="R67" s="120"/>
      <c r="S67" s="19"/>
      <c r="T67" s="57">
        <f t="shared" si="407"/>
        <v>0</v>
      </c>
      <c r="U67" s="20">
        <v>0</v>
      </c>
      <c r="V67" s="95">
        <f t="shared" si="408"/>
        <v>0</v>
      </c>
      <c r="W67" s="120"/>
      <c r="X67" s="19"/>
      <c r="Y67" s="57">
        <f t="shared" si="409"/>
        <v>0</v>
      </c>
      <c r="Z67" s="20">
        <v>0</v>
      </c>
      <c r="AA67" s="95">
        <f t="shared" si="410"/>
        <v>0</v>
      </c>
      <c r="AB67" s="120"/>
      <c r="AC67" s="19"/>
      <c r="AD67" s="57">
        <f t="shared" si="411"/>
        <v>0</v>
      </c>
      <c r="AE67" s="20">
        <v>0</v>
      </c>
      <c r="AF67" s="95">
        <f t="shared" si="412"/>
        <v>0</v>
      </c>
      <c r="AG67" s="192">
        <f>63626.6/1.32*1.25</f>
        <v>60252.46212121212</v>
      </c>
      <c r="AH67" s="189">
        <v>1</v>
      </c>
      <c r="AI67" s="57">
        <f t="shared" si="413"/>
        <v>60252.46212121212</v>
      </c>
      <c r="AJ67" s="20">
        <v>0</v>
      </c>
      <c r="AK67" s="95">
        <f t="shared" si="414"/>
        <v>60252.46212121212</v>
      </c>
      <c r="AL67" s="192">
        <f>63626.6/1.32*1.25</f>
        <v>60252.46212121212</v>
      </c>
      <c r="AM67" s="189">
        <v>1</v>
      </c>
      <c r="AN67" s="57">
        <f t="shared" si="415"/>
        <v>60252.46212121212</v>
      </c>
      <c r="AO67" s="20">
        <v>0</v>
      </c>
      <c r="AP67" s="95">
        <f t="shared" si="416"/>
        <v>60252.46212121212</v>
      </c>
      <c r="AQ67" s="120"/>
      <c r="AR67" s="19"/>
      <c r="AS67" s="57">
        <f t="shared" si="417"/>
        <v>0</v>
      </c>
      <c r="AT67" s="20">
        <v>0</v>
      </c>
      <c r="AU67" s="95">
        <f t="shared" si="418"/>
        <v>0</v>
      </c>
      <c r="AV67" s="120"/>
      <c r="AW67" s="19"/>
      <c r="AX67" s="57">
        <f t="shared" si="419"/>
        <v>0</v>
      </c>
      <c r="AY67" s="20">
        <v>0</v>
      </c>
      <c r="AZ67" s="95">
        <f t="shared" si="420"/>
        <v>0</v>
      </c>
      <c r="BA67" s="192">
        <f>63626.6/1.32*1.25</f>
        <v>60252.46212121212</v>
      </c>
      <c r="BB67" s="189">
        <v>1</v>
      </c>
      <c r="BC67" s="57">
        <f t="shared" si="421"/>
        <v>60252.46212121212</v>
      </c>
      <c r="BD67" s="20">
        <v>0</v>
      </c>
      <c r="BE67" s="95">
        <f t="shared" si="422"/>
        <v>60252.46212121212</v>
      </c>
      <c r="BF67" s="120"/>
      <c r="BG67" s="19"/>
      <c r="BH67" s="57">
        <f t="shared" si="423"/>
        <v>0</v>
      </c>
      <c r="BI67" s="20">
        <v>0</v>
      </c>
      <c r="BJ67" s="95">
        <f t="shared" si="424"/>
        <v>0</v>
      </c>
      <c r="BK67" s="91"/>
      <c r="BL67" s="19"/>
      <c r="BM67" s="57">
        <f t="shared" si="425"/>
        <v>0</v>
      </c>
      <c r="BN67" s="20"/>
      <c r="BO67" s="100">
        <f t="shared" si="426"/>
        <v>0</v>
      </c>
      <c r="BP67" s="91"/>
      <c r="BQ67" s="19"/>
      <c r="BR67" s="57">
        <f t="shared" si="427"/>
        <v>0</v>
      </c>
      <c r="BS67" s="20"/>
      <c r="BT67" s="95">
        <f t="shared" si="428"/>
        <v>0</v>
      </c>
      <c r="BU67" s="55"/>
      <c r="BV67" s="107">
        <f t="shared" si="459"/>
        <v>301262.31060606061</v>
      </c>
      <c r="BW67" s="192">
        <f>63626.6/1.32*1.25</f>
        <v>60252.46212121212</v>
      </c>
      <c r="BX67" s="189">
        <v>1</v>
      </c>
      <c r="BY67" s="57">
        <f t="shared" si="429"/>
        <v>60252.46212121212</v>
      </c>
      <c r="BZ67" s="20">
        <v>0</v>
      </c>
      <c r="CA67" s="95">
        <f t="shared" si="430"/>
        <v>60252.46212121212</v>
      </c>
      <c r="CB67" s="192">
        <f>63626.6/1.32*1.25</f>
        <v>60252.46212121212</v>
      </c>
      <c r="CC67" s="189">
        <v>1</v>
      </c>
      <c r="CD67" s="57">
        <f t="shared" si="431"/>
        <v>60252.46212121212</v>
      </c>
      <c r="CE67" s="20">
        <v>0</v>
      </c>
      <c r="CF67" s="95">
        <f t="shared" si="432"/>
        <v>60252.46212121212</v>
      </c>
      <c r="CG67" s="192">
        <f>63626.6/1.32*1.25</f>
        <v>60252.46212121212</v>
      </c>
      <c r="CH67" s="189">
        <v>1</v>
      </c>
      <c r="CI67" s="57">
        <f t="shared" si="433"/>
        <v>60252.46212121212</v>
      </c>
      <c r="CJ67" s="20">
        <v>0</v>
      </c>
      <c r="CK67" s="95">
        <f t="shared" si="434"/>
        <v>60252.46212121212</v>
      </c>
      <c r="CL67" s="192">
        <f>63626.6/1.32*1.25</f>
        <v>60252.46212121212</v>
      </c>
      <c r="CM67" s="189">
        <v>1</v>
      </c>
      <c r="CN67" s="57">
        <f t="shared" si="435"/>
        <v>60252.46212121212</v>
      </c>
      <c r="CO67" s="20">
        <v>0</v>
      </c>
      <c r="CP67" s="95">
        <f t="shared" si="436"/>
        <v>60252.46212121212</v>
      </c>
      <c r="CQ67" s="192">
        <f>63626.6/1.32*1.25</f>
        <v>60252.46212121212</v>
      </c>
      <c r="CR67" s="189">
        <v>1</v>
      </c>
      <c r="CS67" s="57">
        <f t="shared" si="437"/>
        <v>60252.46212121212</v>
      </c>
      <c r="CT67" s="20">
        <v>0</v>
      </c>
      <c r="CU67" s="95">
        <f t="shared" si="438"/>
        <v>60252.46212121212</v>
      </c>
      <c r="CV67" s="120"/>
      <c r="CW67" s="19"/>
      <c r="CX67" s="57">
        <f t="shared" si="439"/>
        <v>0</v>
      </c>
      <c r="CY67" s="20"/>
      <c r="CZ67" s="95">
        <f t="shared" si="440"/>
        <v>0</v>
      </c>
      <c r="DA67" s="120"/>
      <c r="DB67" s="19"/>
      <c r="DC67" s="57">
        <f t="shared" si="441"/>
        <v>0</v>
      </c>
      <c r="DD67" s="20"/>
      <c r="DE67" s="95">
        <f t="shared" si="442"/>
        <v>0</v>
      </c>
      <c r="DF67" s="91"/>
      <c r="DG67" s="19"/>
      <c r="DH67" s="57">
        <f t="shared" si="443"/>
        <v>0</v>
      </c>
      <c r="DI67" s="20"/>
      <c r="DJ67" s="100">
        <f t="shared" si="444"/>
        <v>0</v>
      </c>
      <c r="DK67" s="91"/>
      <c r="DL67" s="19"/>
      <c r="DM67" s="57">
        <f t="shared" si="445"/>
        <v>0</v>
      </c>
      <c r="DN67" s="20"/>
      <c r="DO67" s="100">
        <f t="shared" si="446"/>
        <v>0</v>
      </c>
      <c r="DP67" s="91"/>
      <c r="DQ67" s="19"/>
      <c r="DR67" s="57">
        <f t="shared" si="447"/>
        <v>0</v>
      </c>
      <c r="DS67" s="20"/>
      <c r="DT67" s="100">
        <f t="shared" si="448"/>
        <v>0</v>
      </c>
      <c r="DU67" s="91"/>
      <c r="DV67" s="19"/>
      <c r="DW67" s="57">
        <f t="shared" si="449"/>
        <v>0</v>
      </c>
      <c r="DX67" s="20"/>
      <c r="DY67" s="100">
        <f t="shared" si="450"/>
        <v>0</v>
      </c>
      <c r="DZ67" s="91"/>
      <c r="EA67" s="19"/>
      <c r="EB67" s="57">
        <f t="shared" si="451"/>
        <v>0</v>
      </c>
      <c r="EC67" s="20"/>
      <c r="ED67" s="100">
        <f t="shared" si="452"/>
        <v>0</v>
      </c>
      <c r="EE67" s="91"/>
      <c r="EF67" s="19"/>
      <c r="EG67" s="57">
        <f t="shared" si="453"/>
        <v>0</v>
      </c>
      <c r="EH67" s="20"/>
      <c r="EI67" s="100">
        <f t="shared" si="454"/>
        <v>0</v>
      </c>
      <c r="EJ67" s="91"/>
      <c r="EK67" s="19"/>
      <c r="EL67" s="57">
        <f t="shared" si="455"/>
        <v>0</v>
      </c>
      <c r="EM67" s="20"/>
      <c r="EN67" s="100">
        <f t="shared" si="456"/>
        <v>0</v>
      </c>
      <c r="EO67" s="91"/>
      <c r="EP67" s="19"/>
      <c r="EQ67" s="57">
        <f t="shared" si="457"/>
        <v>0</v>
      </c>
      <c r="ER67" s="20"/>
      <c r="ES67" s="100">
        <f t="shared" si="458"/>
        <v>0</v>
      </c>
      <c r="ET67" s="55"/>
      <c r="EU67" s="55"/>
    </row>
    <row r="68" spans="1:151" x14ac:dyDescent="0.25">
      <c r="A68" s="18" t="s">
        <v>148</v>
      </c>
      <c r="B68" s="107">
        <f t="shared" si="400"/>
        <v>0</v>
      </c>
      <c r="C68" s="91"/>
      <c r="D68" s="19"/>
      <c r="E68" s="57">
        <f t="shared" si="401"/>
        <v>0</v>
      </c>
      <c r="F68" s="20"/>
      <c r="G68" s="95">
        <f t="shared" si="402"/>
        <v>0</v>
      </c>
      <c r="H68" s="91"/>
      <c r="I68" s="19"/>
      <c r="J68" s="57">
        <f t="shared" si="403"/>
        <v>0</v>
      </c>
      <c r="K68" s="20"/>
      <c r="L68" s="95">
        <f t="shared" si="404"/>
        <v>0</v>
      </c>
      <c r="M68" s="120"/>
      <c r="N68" s="19"/>
      <c r="O68" s="57">
        <f t="shared" si="405"/>
        <v>0</v>
      </c>
      <c r="P68" s="20"/>
      <c r="Q68" s="95">
        <f t="shared" si="406"/>
        <v>0</v>
      </c>
      <c r="R68" s="120"/>
      <c r="S68" s="19"/>
      <c r="T68" s="57">
        <f t="shared" si="407"/>
        <v>0</v>
      </c>
      <c r="U68" s="20"/>
      <c r="V68" s="95">
        <f t="shared" si="408"/>
        <v>0</v>
      </c>
      <c r="W68" s="120"/>
      <c r="X68" s="19"/>
      <c r="Y68" s="57">
        <f t="shared" si="409"/>
        <v>0</v>
      </c>
      <c r="Z68" s="20"/>
      <c r="AA68" s="95">
        <f t="shared" si="410"/>
        <v>0</v>
      </c>
      <c r="AB68" s="120"/>
      <c r="AC68" s="19"/>
      <c r="AD68" s="57">
        <f t="shared" si="411"/>
        <v>0</v>
      </c>
      <c r="AE68" s="20"/>
      <c r="AF68" s="95">
        <f t="shared" si="412"/>
        <v>0</v>
      </c>
      <c r="AG68" s="120"/>
      <c r="AH68" s="19"/>
      <c r="AI68" s="57">
        <f t="shared" si="413"/>
        <v>0</v>
      </c>
      <c r="AJ68" s="20"/>
      <c r="AK68" s="95">
        <f t="shared" si="414"/>
        <v>0</v>
      </c>
      <c r="AL68" s="120"/>
      <c r="AM68" s="19"/>
      <c r="AN68" s="57">
        <f t="shared" si="415"/>
        <v>0</v>
      </c>
      <c r="AO68" s="20"/>
      <c r="AP68" s="95">
        <f t="shared" si="416"/>
        <v>0</v>
      </c>
      <c r="AQ68" s="120"/>
      <c r="AR68" s="19"/>
      <c r="AS68" s="57">
        <f t="shared" si="417"/>
        <v>0</v>
      </c>
      <c r="AT68" s="20"/>
      <c r="AU68" s="95">
        <f t="shared" si="418"/>
        <v>0</v>
      </c>
      <c r="AV68" s="120"/>
      <c r="AW68" s="19"/>
      <c r="AX68" s="57">
        <f t="shared" si="419"/>
        <v>0</v>
      </c>
      <c r="AY68" s="20"/>
      <c r="AZ68" s="95">
        <f t="shared" si="420"/>
        <v>0</v>
      </c>
      <c r="BA68" s="120"/>
      <c r="BB68" s="19"/>
      <c r="BC68" s="57">
        <f t="shared" si="421"/>
        <v>0</v>
      </c>
      <c r="BD68" s="20"/>
      <c r="BE68" s="95">
        <f t="shared" si="422"/>
        <v>0</v>
      </c>
      <c r="BF68" s="120"/>
      <c r="BG68" s="19"/>
      <c r="BH68" s="57">
        <f t="shared" si="423"/>
        <v>0</v>
      </c>
      <c r="BI68" s="20"/>
      <c r="BJ68" s="95">
        <f t="shared" si="424"/>
        <v>0</v>
      </c>
      <c r="BK68" s="91"/>
      <c r="BL68" s="19"/>
      <c r="BM68" s="57">
        <f t="shared" si="425"/>
        <v>0</v>
      </c>
      <c r="BN68" s="20"/>
      <c r="BO68" s="100">
        <f t="shared" si="426"/>
        <v>0</v>
      </c>
      <c r="BP68" s="91"/>
      <c r="BQ68" s="19"/>
      <c r="BR68" s="57">
        <f t="shared" si="427"/>
        <v>0</v>
      </c>
      <c r="BS68" s="20"/>
      <c r="BT68" s="95">
        <f t="shared" si="428"/>
        <v>0</v>
      </c>
      <c r="BU68" s="55"/>
      <c r="BV68" s="107">
        <f t="shared" si="459"/>
        <v>0</v>
      </c>
      <c r="BW68" s="120"/>
      <c r="BX68" s="19"/>
      <c r="BY68" s="57">
        <f t="shared" si="429"/>
        <v>0</v>
      </c>
      <c r="BZ68" s="20"/>
      <c r="CA68" s="95">
        <f t="shared" si="430"/>
        <v>0</v>
      </c>
      <c r="CB68" s="120"/>
      <c r="CC68" s="19"/>
      <c r="CD68" s="57">
        <f t="shared" si="431"/>
        <v>0</v>
      </c>
      <c r="CE68" s="20"/>
      <c r="CF68" s="95">
        <f t="shared" si="432"/>
        <v>0</v>
      </c>
      <c r="CG68" s="120"/>
      <c r="CH68" s="19"/>
      <c r="CI68" s="57">
        <f t="shared" si="433"/>
        <v>0</v>
      </c>
      <c r="CJ68" s="20"/>
      <c r="CK68" s="95">
        <f t="shared" si="434"/>
        <v>0</v>
      </c>
      <c r="CL68" s="120"/>
      <c r="CM68" s="19"/>
      <c r="CN68" s="57">
        <f t="shared" si="435"/>
        <v>0</v>
      </c>
      <c r="CO68" s="20"/>
      <c r="CP68" s="95">
        <f t="shared" si="436"/>
        <v>0</v>
      </c>
      <c r="CQ68" s="120"/>
      <c r="CR68" s="19"/>
      <c r="CS68" s="57">
        <f t="shared" si="437"/>
        <v>0</v>
      </c>
      <c r="CT68" s="20"/>
      <c r="CU68" s="95">
        <f t="shared" si="438"/>
        <v>0</v>
      </c>
      <c r="CV68" s="120"/>
      <c r="CW68" s="19"/>
      <c r="CX68" s="57">
        <f t="shared" si="439"/>
        <v>0</v>
      </c>
      <c r="CY68" s="20"/>
      <c r="CZ68" s="95">
        <f t="shared" si="440"/>
        <v>0</v>
      </c>
      <c r="DA68" s="120"/>
      <c r="DB68" s="19"/>
      <c r="DC68" s="57">
        <f t="shared" si="441"/>
        <v>0</v>
      </c>
      <c r="DD68" s="20"/>
      <c r="DE68" s="95">
        <f t="shared" si="442"/>
        <v>0</v>
      </c>
      <c r="DF68" s="91"/>
      <c r="DG68" s="19"/>
      <c r="DH68" s="57">
        <f t="shared" si="443"/>
        <v>0</v>
      </c>
      <c r="DI68" s="20"/>
      <c r="DJ68" s="100">
        <f t="shared" si="444"/>
        <v>0</v>
      </c>
      <c r="DK68" s="91"/>
      <c r="DL68" s="19"/>
      <c r="DM68" s="57">
        <f t="shared" si="445"/>
        <v>0</v>
      </c>
      <c r="DN68" s="20"/>
      <c r="DO68" s="100">
        <f t="shared" si="446"/>
        <v>0</v>
      </c>
      <c r="DP68" s="91"/>
      <c r="DQ68" s="19"/>
      <c r="DR68" s="57">
        <f t="shared" si="447"/>
        <v>0</v>
      </c>
      <c r="DS68" s="20"/>
      <c r="DT68" s="100">
        <f t="shared" si="448"/>
        <v>0</v>
      </c>
      <c r="DU68" s="91"/>
      <c r="DV68" s="19"/>
      <c r="DW68" s="57">
        <f t="shared" si="449"/>
        <v>0</v>
      </c>
      <c r="DX68" s="20"/>
      <c r="DY68" s="100">
        <f t="shared" si="450"/>
        <v>0</v>
      </c>
      <c r="DZ68" s="91"/>
      <c r="EA68" s="19"/>
      <c r="EB68" s="57">
        <f t="shared" si="451"/>
        <v>0</v>
      </c>
      <c r="EC68" s="20"/>
      <c r="ED68" s="100">
        <f t="shared" si="452"/>
        <v>0</v>
      </c>
      <c r="EE68" s="91"/>
      <c r="EF68" s="19"/>
      <c r="EG68" s="57">
        <f t="shared" si="453"/>
        <v>0</v>
      </c>
      <c r="EH68" s="20"/>
      <c r="EI68" s="100">
        <f t="shared" si="454"/>
        <v>0</v>
      </c>
      <c r="EJ68" s="91"/>
      <c r="EK68" s="19"/>
      <c r="EL68" s="57">
        <f t="shared" si="455"/>
        <v>0</v>
      </c>
      <c r="EM68" s="20"/>
      <c r="EN68" s="100">
        <f t="shared" si="456"/>
        <v>0</v>
      </c>
      <c r="EO68" s="91"/>
      <c r="EP68" s="19"/>
      <c r="EQ68" s="57">
        <f t="shared" si="457"/>
        <v>0</v>
      </c>
      <c r="ER68" s="20"/>
      <c r="ES68" s="100">
        <f t="shared" si="458"/>
        <v>0</v>
      </c>
      <c r="ET68" s="55"/>
      <c r="EU68" s="55"/>
    </row>
    <row r="69" spans="1:151" x14ac:dyDescent="0.25">
      <c r="A69" s="18" t="s">
        <v>149</v>
      </c>
      <c r="B69" s="107">
        <f>G69+L69+Q69+V69+AA69+AF69+AK69+AP69+AU69+AZ69+BE69+BJ69+BO69+BT69</f>
        <v>160380</v>
      </c>
      <c r="C69" s="91"/>
      <c r="D69" s="19"/>
      <c r="E69" s="57">
        <f t="shared" si="401"/>
        <v>0</v>
      </c>
      <c r="F69" s="20"/>
      <c r="G69" s="95">
        <f t="shared" si="402"/>
        <v>0</v>
      </c>
      <c r="H69" s="91"/>
      <c r="I69" s="19"/>
      <c r="J69" s="57">
        <f t="shared" si="403"/>
        <v>0</v>
      </c>
      <c r="K69" s="20"/>
      <c r="L69" s="95">
        <f t="shared" si="404"/>
        <v>0</v>
      </c>
      <c r="M69" s="192">
        <f>3000*1.32</f>
        <v>3960</v>
      </c>
      <c r="N69" s="189">
        <v>1</v>
      </c>
      <c r="O69" s="57">
        <f t="shared" si="405"/>
        <v>3960</v>
      </c>
      <c r="P69" s="20">
        <v>0</v>
      </c>
      <c r="Q69" s="95">
        <f t="shared" si="406"/>
        <v>3960</v>
      </c>
      <c r="R69" s="192">
        <f>3000*1.32</f>
        <v>3960</v>
      </c>
      <c r="S69" s="189">
        <v>1</v>
      </c>
      <c r="T69" s="57">
        <f t="shared" si="407"/>
        <v>3960</v>
      </c>
      <c r="U69" s="20">
        <v>0</v>
      </c>
      <c r="V69" s="95">
        <f t="shared" si="408"/>
        <v>3960</v>
      </c>
      <c r="W69" s="192">
        <f>3000*1.32</f>
        <v>3960</v>
      </c>
      <c r="X69" s="189">
        <v>1</v>
      </c>
      <c r="Y69" s="57">
        <f t="shared" si="409"/>
        <v>3960</v>
      </c>
      <c r="Z69" s="20">
        <v>0</v>
      </c>
      <c r="AA69" s="95">
        <f t="shared" si="410"/>
        <v>3960</v>
      </c>
      <c r="AB69" s="192">
        <f>3000*1.32</f>
        <v>3960</v>
      </c>
      <c r="AC69" s="189">
        <v>1</v>
      </c>
      <c r="AD69" s="57">
        <f t="shared" si="411"/>
        <v>3960</v>
      </c>
      <c r="AE69" s="20">
        <v>0</v>
      </c>
      <c r="AF69" s="95">
        <f t="shared" si="412"/>
        <v>3960</v>
      </c>
      <c r="AG69" s="192">
        <v>44220</v>
      </c>
      <c r="AH69" s="189">
        <v>1</v>
      </c>
      <c r="AI69" s="57">
        <f t="shared" si="413"/>
        <v>44220</v>
      </c>
      <c r="AJ69" s="20">
        <v>0</v>
      </c>
      <c r="AK69" s="95">
        <f t="shared" si="414"/>
        <v>44220</v>
      </c>
      <c r="AL69" s="192">
        <v>44220</v>
      </c>
      <c r="AM69" s="189">
        <v>1</v>
      </c>
      <c r="AN69" s="57">
        <f t="shared" si="415"/>
        <v>44220</v>
      </c>
      <c r="AO69" s="20">
        <v>0</v>
      </c>
      <c r="AP69" s="95">
        <f t="shared" si="416"/>
        <v>44220</v>
      </c>
      <c r="AQ69" s="192">
        <f>3000*1.32</f>
        <v>3960</v>
      </c>
      <c r="AR69" s="189">
        <v>1</v>
      </c>
      <c r="AS69" s="57">
        <f t="shared" si="417"/>
        <v>3960</v>
      </c>
      <c r="AT69" s="20">
        <v>0</v>
      </c>
      <c r="AU69" s="95">
        <f t="shared" si="418"/>
        <v>3960</v>
      </c>
      <c r="AV69" s="192">
        <f>3000*1.32</f>
        <v>3960</v>
      </c>
      <c r="AW69" s="189">
        <v>1</v>
      </c>
      <c r="AX69" s="57">
        <f t="shared" si="419"/>
        <v>3960</v>
      </c>
      <c r="AY69" s="20">
        <v>0</v>
      </c>
      <c r="AZ69" s="95">
        <f t="shared" si="420"/>
        <v>3960</v>
      </c>
      <c r="BA69" s="192">
        <v>44220</v>
      </c>
      <c r="BB69" s="189">
        <v>1</v>
      </c>
      <c r="BC69" s="57">
        <f t="shared" si="421"/>
        <v>44220</v>
      </c>
      <c r="BD69" s="20">
        <v>0</v>
      </c>
      <c r="BE69" s="95">
        <f t="shared" si="422"/>
        <v>44220</v>
      </c>
      <c r="BF69" s="192">
        <f>3000*1.32</f>
        <v>3960</v>
      </c>
      <c r="BG69" s="189">
        <v>1</v>
      </c>
      <c r="BH69" s="57">
        <f t="shared" si="423"/>
        <v>3960</v>
      </c>
      <c r="BI69" s="20">
        <v>0</v>
      </c>
      <c r="BJ69" s="95">
        <f t="shared" si="424"/>
        <v>3960</v>
      </c>
      <c r="BK69" s="91"/>
      <c r="BL69" s="19"/>
      <c r="BM69" s="57">
        <f t="shared" si="425"/>
        <v>0</v>
      </c>
      <c r="BN69" s="20"/>
      <c r="BO69" s="100">
        <f t="shared" si="426"/>
        <v>0</v>
      </c>
      <c r="BP69" s="91"/>
      <c r="BQ69" s="19"/>
      <c r="BR69" s="57">
        <f t="shared" si="427"/>
        <v>0</v>
      </c>
      <c r="BS69" s="20"/>
      <c r="BT69" s="95">
        <f t="shared" si="428"/>
        <v>0</v>
      </c>
      <c r="BU69" s="55"/>
      <c r="BV69" s="107">
        <f t="shared" si="459"/>
        <v>221100</v>
      </c>
      <c r="BW69" s="192">
        <v>44220</v>
      </c>
      <c r="BX69" s="189">
        <v>1</v>
      </c>
      <c r="BY69" s="57">
        <f t="shared" si="429"/>
        <v>44220</v>
      </c>
      <c r="BZ69" s="20">
        <v>0</v>
      </c>
      <c r="CA69" s="95">
        <f t="shared" si="430"/>
        <v>44220</v>
      </c>
      <c r="CB69" s="192">
        <v>44220</v>
      </c>
      <c r="CC69" s="189">
        <v>1</v>
      </c>
      <c r="CD69" s="57">
        <f t="shared" si="431"/>
        <v>44220</v>
      </c>
      <c r="CE69" s="20">
        <v>0</v>
      </c>
      <c r="CF69" s="95">
        <f t="shared" si="432"/>
        <v>44220</v>
      </c>
      <c r="CG69" s="192">
        <v>44220</v>
      </c>
      <c r="CH69" s="189">
        <v>1</v>
      </c>
      <c r="CI69" s="57">
        <f t="shared" si="433"/>
        <v>44220</v>
      </c>
      <c r="CJ69" s="20">
        <v>0</v>
      </c>
      <c r="CK69" s="95">
        <f t="shared" si="434"/>
        <v>44220</v>
      </c>
      <c r="CL69" s="192">
        <v>44220</v>
      </c>
      <c r="CM69" s="189">
        <v>1</v>
      </c>
      <c r="CN69" s="57">
        <f t="shared" si="435"/>
        <v>44220</v>
      </c>
      <c r="CO69" s="20">
        <v>0</v>
      </c>
      <c r="CP69" s="95">
        <f t="shared" si="436"/>
        <v>44220</v>
      </c>
      <c r="CQ69" s="192">
        <v>44220</v>
      </c>
      <c r="CR69" s="189">
        <v>1</v>
      </c>
      <c r="CS69" s="57">
        <f t="shared" si="437"/>
        <v>44220</v>
      </c>
      <c r="CT69" s="20">
        <v>0</v>
      </c>
      <c r="CU69" s="95">
        <f t="shared" si="438"/>
        <v>44220</v>
      </c>
      <c r="CV69" s="120"/>
      <c r="CW69" s="19"/>
      <c r="CX69" s="57">
        <f t="shared" si="439"/>
        <v>0</v>
      </c>
      <c r="CY69" s="20"/>
      <c r="CZ69" s="95">
        <f t="shared" si="440"/>
        <v>0</v>
      </c>
      <c r="DA69" s="120"/>
      <c r="DB69" s="19"/>
      <c r="DC69" s="57">
        <f t="shared" si="441"/>
        <v>0</v>
      </c>
      <c r="DD69" s="20"/>
      <c r="DE69" s="95">
        <f t="shared" si="442"/>
        <v>0</v>
      </c>
      <c r="DF69" s="91"/>
      <c r="DG69" s="19"/>
      <c r="DH69" s="57">
        <f t="shared" si="443"/>
        <v>0</v>
      </c>
      <c r="DI69" s="20"/>
      <c r="DJ69" s="100">
        <f t="shared" si="444"/>
        <v>0</v>
      </c>
      <c r="DK69" s="91"/>
      <c r="DL69" s="19"/>
      <c r="DM69" s="57">
        <f t="shared" si="445"/>
        <v>0</v>
      </c>
      <c r="DN69" s="20"/>
      <c r="DO69" s="100">
        <f t="shared" si="446"/>
        <v>0</v>
      </c>
      <c r="DP69" s="91"/>
      <c r="DQ69" s="19"/>
      <c r="DR69" s="57">
        <f t="shared" si="447"/>
        <v>0</v>
      </c>
      <c r="DS69" s="20"/>
      <c r="DT69" s="100">
        <f t="shared" si="448"/>
        <v>0</v>
      </c>
      <c r="DU69" s="91"/>
      <c r="DV69" s="19"/>
      <c r="DW69" s="57">
        <f t="shared" si="449"/>
        <v>0</v>
      </c>
      <c r="DX69" s="20"/>
      <c r="DY69" s="100">
        <f t="shared" si="450"/>
        <v>0</v>
      </c>
      <c r="DZ69" s="91"/>
      <c r="EA69" s="19"/>
      <c r="EB69" s="57">
        <f t="shared" si="451"/>
        <v>0</v>
      </c>
      <c r="EC69" s="20"/>
      <c r="ED69" s="100">
        <f t="shared" si="452"/>
        <v>0</v>
      </c>
      <c r="EE69" s="91"/>
      <c r="EF69" s="19"/>
      <c r="EG69" s="57">
        <f t="shared" si="453"/>
        <v>0</v>
      </c>
      <c r="EH69" s="20"/>
      <c r="EI69" s="100">
        <f t="shared" si="454"/>
        <v>0</v>
      </c>
      <c r="EJ69" s="91"/>
      <c r="EK69" s="19"/>
      <c r="EL69" s="57">
        <f t="shared" si="455"/>
        <v>0</v>
      </c>
      <c r="EM69" s="20"/>
      <c r="EN69" s="100">
        <f t="shared" si="456"/>
        <v>0</v>
      </c>
      <c r="EO69" s="91"/>
      <c r="EP69" s="19"/>
      <c r="EQ69" s="57">
        <f t="shared" si="457"/>
        <v>0</v>
      </c>
      <c r="ER69" s="20"/>
      <c r="ES69" s="100">
        <f t="shared" si="458"/>
        <v>0</v>
      </c>
      <c r="ET69" s="55"/>
      <c r="EU69" s="55"/>
    </row>
    <row r="70" spans="1:151" x14ac:dyDescent="0.25">
      <c r="A70" s="18"/>
      <c r="B70" s="107">
        <f t="shared" si="400"/>
        <v>0</v>
      </c>
      <c r="C70" s="91"/>
      <c r="D70" s="19"/>
      <c r="E70" s="57">
        <f t="shared" si="401"/>
        <v>0</v>
      </c>
      <c r="F70" s="20"/>
      <c r="G70" s="95">
        <f t="shared" si="402"/>
        <v>0</v>
      </c>
      <c r="H70" s="91"/>
      <c r="I70" s="19"/>
      <c r="J70" s="57">
        <f t="shared" si="403"/>
        <v>0</v>
      </c>
      <c r="K70" s="20"/>
      <c r="L70" s="95">
        <f t="shared" ref="L70" si="460">J70-J70*K70</f>
        <v>0</v>
      </c>
      <c r="M70" s="120"/>
      <c r="N70" s="19"/>
      <c r="O70" s="57">
        <f t="shared" ref="O70" si="461">SUM(M70*N70)</f>
        <v>0</v>
      </c>
      <c r="P70" s="20"/>
      <c r="Q70" s="95">
        <f t="shared" ref="Q70" si="462">O70-O70*P70</f>
        <v>0</v>
      </c>
      <c r="R70" s="120"/>
      <c r="S70" s="19"/>
      <c r="T70" s="57">
        <f t="shared" ref="T70" si="463">SUM(R70*S70)</f>
        <v>0</v>
      </c>
      <c r="U70" s="20"/>
      <c r="V70" s="95">
        <f t="shared" ref="V70" si="464">T70-T70*U70</f>
        <v>0</v>
      </c>
      <c r="W70" s="120"/>
      <c r="X70" s="19"/>
      <c r="Y70" s="57">
        <f t="shared" ref="Y70" si="465">SUM(W70*X70)</f>
        <v>0</v>
      </c>
      <c r="Z70" s="20"/>
      <c r="AA70" s="95">
        <f t="shared" ref="AA70" si="466">Y70-Y70*Z70</f>
        <v>0</v>
      </c>
      <c r="AB70" s="120"/>
      <c r="AC70" s="19"/>
      <c r="AD70" s="57">
        <f t="shared" ref="AD70" si="467">SUM(AB70*AC70)</f>
        <v>0</v>
      </c>
      <c r="AE70" s="20"/>
      <c r="AF70" s="95">
        <f t="shared" ref="AF70" si="468">AD70-AD70*AE70</f>
        <v>0</v>
      </c>
      <c r="AG70" s="120"/>
      <c r="AH70" s="19"/>
      <c r="AI70" s="57">
        <f t="shared" ref="AI70" si="469">SUM(AG70*AH70)</f>
        <v>0</v>
      </c>
      <c r="AJ70" s="20"/>
      <c r="AK70" s="95">
        <f t="shared" ref="AK70" si="470">AI70-AI70*AJ70</f>
        <v>0</v>
      </c>
      <c r="AL70" s="91"/>
      <c r="AM70" s="19"/>
      <c r="AN70" s="57">
        <f t="shared" ref="AN70" si="471">SUM(AL70*AM70)</f>
        <v>0</v>
      </c>
      <c r="AO70" s="20"/>
      <c r="AP70" s="100">
        <f t="shared" ref="AP70" si="472">AN70-AN70*AO70</f>
        <v>0</v>
      </c>
      <c r="AQ70" s="91"/>
      <c r="AR70" s="19"/>
      <c r="AS70" s="57">
        <f t="shared" ref="AS70" si="473">SUM(AQ70*AR70)</f>
        <v>0</v>
      </c>
      <c r="AT70" s="20"/>
      <c r="AU70" s="100">
        <f t="shared" ref="AU70" si="474">AS70-AS70*AT70</f>
        <v>0</v>
      </c>
      <c r="AV70" s="91"/>
      <c r="AW70" s="19"/>
      <c r="AX70" s="57">
        <f t="shared" ref="AX70" si="475">SUM(AV70*AW70)</f>
        <v>0</v>
      </c>
      <c r="AY70" s="20"/>
      <c r="AZ70" s="100">
        <f t="shared" ref="AZ70" si="476">AX70-AX70*AY70</f>
        <v>0</v>
      </c>
      <c r="BA70" s="91"/>
      <c r="BB70" s="19"/>
      <c r="BC70" s="57">
        <f t="shared" ref="BC70" si="477">SUM(BA70*BB70)</f>
        <v>0</v>
      </c>
      <c r="BD70" s="20"/>
      <c r="BE70" s="100">
        <f t="shared" ref="BE70" si="478">BC70-BC70*BD70</f>
        <v>0</v>
      </c>
      <c r="BF70" s="91"/>
      <c r="BG70" s="19"/>
      <c r="BH70" s="57">
        <f t="shared" ref="BH70" si="479">SUM(BF70*BG70)</f>
        <v>0</v>
      </c>
      <c r="BI70" s="20"/>
      <c r="BJ70" s="100">
        <f t="shared" ref="BJ70" si="480">BH70-BH70*BI70</f>
        <v>0</v>
      </c>
      <c r="BK70" s="91"/>
      <c r="BL70" s="19"/>
      <c r="BM70" s="57">
        <f t="shared" si="425"/>
        <v>0</v>
      </c>
      <c r="BN70" s="20"/>
      <c r="BO70" s="100">
        <f t="shared" si="426"/>
        <v>0</v>
      </c>
      <c r="BP70" s="91"/>
      <c r="BQ70" s="19"/>
      <c r="BR70" s="57">
        <f t="shared" ref="BR70" si="481">SUM(BP70*BQ70)</f>
        <v>0</v>
      </c>
      <c r="BS70" s="20"/>
      <c r="BT70" s="100">
        <f t="shared" ref="BT70" si="482">BR70-BR70*BS70</f>
        <v>0</v>
      </c>
      <c r="BU70" s="55"/>
      <c r="BV70" s="107">
        <f t="shared" si="459"/>
        <v>0</v>
      </c>
      <c r="BW70" s="91"/>
      <c r="BX70" s="19"/>
      <c r="BY70" s="57">
        <f t="shared" ref="BY70" si="483">SUM(BW70*BX70)</f>
        <v>0</v>
      </c>
      <c r="BZ70" s="20"/>
      <c r="CA70" s="95">
        <f t="shared" ref="CA70" si="484">BY70-BY70*BZ70</f>
        <v>0</v>
      </c>
      <c r="CB70" s="120"/>
      <c r="CC70" s="19"/>
      <c r="CD70" s="57">
        <f t="shared" ref="CD70" si="485">SUM(CB70*CC70)</f>
        <v>0</v>
      </c>
      <c r="CE70" s="20"/>
      <c r="CF70" s="95">
        <f t="shared" ref="CF70" si="486">CD70-CD70*CE70</f>
        <v>0</v>
      </c>
      <c r="CG70" s="120"/>
      <c r="CH70" s="19"/>
      <c r="CI70" s="57">
        <f t="shared" ref="CI70" si="487">SUM(CG70*CH70)</f>
        <v>0</v>
      </c>
      <c r="CJ70" s="20"/>
      <c r="CK70" s="95">
        <f t="shared" ref="CK70" si="488">CI70-CI70*CJ70</f>
        <v>0</v>
      </c>
      <c r="CL70" s="120"/>
      <c r="CM70" s="19"/>
      <c r="CN70" s="57">
        <f t="shared" ref="CN70" si="489">SUM(CL70*CM70)</f>
        <v>0</v>
      </c>
      <c r="CO70" s="20"/>
      <c r="CP70" s="95">
        <f t="shared" ref="CP70" si="490">CN70-CN70*CO70</f>
        <v>0</v>
      </c>
      <c r="CQ70" s="120"/>
      <c r="CR70" s="19"/>
      <c r="CS70" s="57">
        <f t="shared" ref="CS70" si="491">SUM(CQ70*CR70)</f>
        <v>0</v>
      </c>
      <c r="CT70" s="20"/>
      <c r="CU70" s="95">
        <f t="shared" ref="CU70" si="492">CS70-CS70*CT70</f>
        <v>0</v>
      </c>
      <c r="CV70" s="120"/>
      <c r="CW70" s="19"/>
      <c r="CX70" s="57">
        <f t="shared" si="439"/>
        <v>0</v>
      </c>
      <c r="CY70" s="20"/>
      <c r="CZ70" s="95">
        <f t="shared" si="440"/>
        <v>0</v>
      </c>
      <c r="DA70" s="120"/>
      <c r="DB70" s="19"/>
      <c r="DC70" s="57">
        <f t="shared" si="441"/>
        <v>0</v>
      </c>
      <c r="DD70" s="20"/>
      <c r="DE70" s="95">
        <f t="shared" si="442"/>
        <v>0</v>
      </c>
      <c r="DF70" s="91"/>
      <c r="DG70" s="19"/>
      <c r="DH70" s="57">
        <f t="shared" si="443"/>
        <v>0</v>
      </c>
      <c r="DI70" s="20"/>
      <c r="DJ70" s="100">
        <f t="shared" si="444"/>
        <v>0</v>
      </c>
      <c r="DK70" s="91"/>
      <c r="DL70" s="19"/>
      <c r="DM70" s="57">
        <f t="shared" si="445"/>
        <v>0</v>
      </c>
      <c r="DN70" s="20"/>
      <c r="DO70" s="100">
        <f t="shared" si="446"/>
        <v>0</v>
      </c>
      <c r="DP70" s="91"/>
      <c r="DQ70" s="19"/>
      <c r="DR70" s="57">
        <f t="shared" si="447"/>
        <v>0</v>
      </c>
      <c r="DS70" s="20"/>
      <c r="DT70" s="100">
        <f t="shared" si="448"/>
        <v>0</v>
      </c>
      <c r="DU70" s="91"/>
      <c r="DV70" s="19"/>
      <c r="DW70" s="57">
        <f t="shared" si="449"/>
        <v>0</v>
      </c>
      <c r="DX70" s="20"/>
      <c r="DY70" s="100">
        <f t="shared" si="450"/>
        <v>0</v>
      </c>
      <c r="DZ70" s="91"/>
      <c r="EA70" s="19"/>
      <c r="EB70" s="57">
        <f t="shared" si="451"/>
        <v>0</v>
      </c>
      <c r="EC70" s="20"/>
      <c r="ED70" s="100">
        <f t="shared" si="452"/>
        <v>0</v>
      </c>
      <c r="EE70" s="91"/>
      <c r="EF70" s="19"/>
      <c r="EG70" s="57">
        <f t="shared" si="453"/>
        <v>0</v>
      </c>
      <c r="EH70" s="20"/>
      <c r="EI70" s="100">
        <f t="shared" si="454"/>
        <v>0</v>
      </c>
      <c r="EJ70" s="91"/>
      <c r="EK70" s="19"/>
      <c r="EL70" s="57">
        <f t="shared" si="455"/>
        <v>0</v>
      </c>
      <c r="EM70" s="20"/>
      <c r="EN70" s="100">
        <f t="shared" si="456"/>
        <v>0</v>
      </c>
      <c r="EO70" s="91"/>
      <c r="EP70" s="19"/>
      <c r="EQ70" s="57">
        <f t="shared" si="457"/>
        <v>0</v>
      </c>
      <c r="ER70" s="20"/>
      <c r="ES70" s="100">
        <f t="shared" si="458"/>
        <v>0</v>
      </c>
      <c r="ET70" s="55"/>
      <c r="EU70" s="55"/>
    </row>
    <row r="71" spans="1:151" x14ac:dyDescent="0.25">
      <c r="A71" s="53" t="s">
        <v>150</v>
      </c>
      <c r="B71" s="108">
        <f>SUM(B62:B70)</f>
        <v>1703936.1363636362</v>
      </c>
      <c r="C71" s="92"/>
      <c r="D71" s="54"/>
      <c r="E71" s="82"/>
      <c r="F71" s="17"/>
      <c r="G71" s="96">
        <f>SUM(G62:G70)</f>
        <v>0</v>
      </c>
      <c r="H71" s="121"/>
      <c r="I71" s="54"/>
      <c r="J71" s="82"/>
      <c r="K71" s="17"/>
      <c r="L71" s="96">
        <f>SUM(L62:L70)</f>
        <v>0</v>
      </c>
      <c r="M71" s="121"/>
      <c r="N71" s="54"/>
      <c r="O71" s="82"/>
      <c r="P71" s="17"/>
      <c r="Q71" s="96">
        <f>SUM(Q62:Q70)</f>
        <v>5940</v>
      </c>
      <c r="R71" s="121"/>
      <c r="S71" s="54"/>
      <c r="T71" s="82"/>
      <c r="U71" s="17"/>
      <c r="V71" s="96">
        <f>SUM(V62:V70)</f>
        <v>5940</v>
      </c>
      <c r="W71" s="121"/>
      <c r="X71" s="54"/>
      <c r="Y71" s="82"/>
      <c r="Z71" s="17"/>
      <c r="AA71" s="96">
        <f>SUM(AA62:AA70)</f>
        <v>5940</v>
      </c>
      <c r="AB71" s="121"/>
      <c r="AC71" s="54"/>
      <c r="AD71" s="82"/>
      <c r="AE71" s="17"/>
      <c r="AF71" s="96">
        <f>SUM(AF62:AF70)</f>
        <v>5940</v>
      </c>
      <c r="AG71" s="121"/>
      <c r="AH71" s="54"/>
      <c r="AI71" s="82"/>
      <c r="AJ71" s="17"/>
      <c r="AK71" s="96">
        <f>SUM(AK62:AK70)</f>
        <v>554118.71212121216</v>
      </c>
      <c r="AL71" s="92"/>
      <c r="AM71" s="54"/>
      <c r="AN71" s="82"/>
      <c r="AO71" s="17"/>
      <c r="AP71" s="96">
        <f>SUM(AP62:AP70)</f>
        <v>554118.71212121216</v>
      </c>
      <c r="AQ71" s="92"/>
      <c r="AR71" s="54"/>
      <c r="AS71" s="82"/>
      <c r="AT71" s="17"/>
      <c r="AU71" s="96">
        <f>SUM(AU62:AU70)</f>
        <v>5940</v>
      </c>
      <c r="AV71" s="92"/>
      <c r="AW71" s="54"/>
      <c r="AX71" s="82"/>
      <c r="AY71" s="17"/>
      <c r="AZ71" s="96">
        <f>SUM(AZ62:AZ70)</f>
        <v>5940</v>
      </c>
      <c r="BA71" s="92"/>
      <c r="BB71" s="54"/>
      <c r="BC71" s="82"/>
      <c r="BD71" s="17"/>
      <c r="BE71" s="96">
        <f>SUM(BE62:BE70)</f>
        <v>554118.71212121216</v>
      </c>
      <c r="BF71" s="92"/>
      <c r="BG71" s="54"/>
      <c r="BH71" s="82"/>
      <c r="BI71" s="17"/>
      <c r="BJ71" s="96">
        <f>SUM(BJ62:BJ70)</f>
        <v>5940</v>
      </c>
      <c r="BK71" s="92"/>
      <c r="BL71" s="54"/>
      <c r="BM71" s="82"/>
      <c r="BN71" s="17"/>
      <c r="BO71" s="96">
        <f>SUM(BO62:BO70)</f>
        <v>0</v>
      </c>
      <c r="BP71" s="92"/>
      <c r="BQ71" s="54"/>
      <c r="BR71" s="82"/>
      <c r="BS71" s="17"/>
      <c r="BT71" s="96">
        <f>SUM(BT62:BT70)</f>
        <v>0</v>
      </c>
      <c r="BU71" s="55"/>
      <c r="BV71" s="108">
        <f>SUM(BV62:BV70)</f>
        <v>2770593.5606060605</v>
      </c>
      <c r="BW71" s="92"/>
      <c r="BX71" s="54"/>
      <c r="BY71" s="82"/>
      <c r="BZ71" s="17"/>
      <c r="CA71" s="96">
        <f>SUM(CA62:CA70)</f>
        <v>554118.71212121216</v>
      </c>
      <c r="CB71" s="121"/>
      <c r="CC71" s="54"/>
      <c r="CD71" s="82"/>
      <c r="CE71" s="17"/>
      <c r="CF71" s="96">
        <f>SUM(CF62:CF70)</f>
        <v>554118.71212121216</v>
      </c>
      <c r="CG71" s="121"/>
      <c r="CH71" s="54"/>
      <c r="CI71" s="82"/>
      <c r="CJ71" s="17"/>
      <c r="CK71" s="96">
        <f>SUM(CK62:CK70)</f>
        <v>554118.71212121216</v>
      </c>
      <c r="CL71" s="121"/>
      <c r="CM71" s="54"/>
      <c r="CN71" s="82"/>
      <c r="CO71" s="17"/>
      <c r="CP71" s="96">
        <f>SUM(CP62:CP70)</f>
        <v>554118.71212121216</v>
      </c>
      <c r="CQ71" s="121"/>
      <c r="CR71" s="54"/>
      <c r="CS71" s="82"/>
      <c r="CT71" s="17"/>
      <c r="CU71" s="96">
        <f>SUM(CU62:CU70)</f>
        <v>554118.71212121216</v>
      </c>
      <c r="CV71" s="121"/>
      <c r="CW71" s="54"/>
      <c r="CX71" s="82"/>
      <c r="CY71" s="17"/>
      <c r="CZ71" s="96">
        <f>SUM(CZ62:CZ70)</f>
        <v>0</v>
      </c>
      <c r="DA71" s="121"/>
      <c r="DB71" s="54"/>
      <c r="DC71" s="82"/>
      <c r="DD71" s="17"/>
      <c r="DE71" s="96">
        <f>SUM(DE62:DE70)</f>
        <v>0</v>
      </c>
      <c r="DF71" s="92"/>
      <c r="DG71" s="54"/>
      <c r="DH71" s="82"/>
      <c r="DI71" s="17"/>
      <c r="DJ71" s="96">
        <f>SUM(DJ62:DJ70)</f>
        <v>0</v>
      </c>
      <c r="DK71" s="92"/>
      <c r="DL71" s="54"/>
      <c r="DM71" s="82"/>
      <c r="DN71" s="17"/>
      <c r="DO71" s="96">
        <f>SUM(DO62:DO70)</f>
        <v>0</v>
      </c>
      <c r="DP71" s="92"/>
      <c r="DQ71" s="54"/>
      <c r="DR71" s="82"/>
      <c r="DS71" s="17"/>
      <c r="DT71" s="96">
        <f>SUM(DT62:DT70)</f>
        <v>0</v>
      </c>
      <c r="DU71" s="92"/>
      <c r="DV71" s="54"/>
      <c r="DW71" s="82"/>
      <c r="DX71" s="17"/>
      <c r="DY71" s="96">
        <f>SUM(DY62:DY70)</f>
        <v>0</v>
      </c>
      <c r="DZ71" s="92"/>
      <c r="EA71" s="54"/>
      <c r="EB71" s="82"/>
      <c r="EC71" s="17"/>
      <c r="ED71" s="96">
        <f>SUM(ED62:ED70)</f>
        <v>0</v>
      </c>
      <c r="EE71" s="92"/>
      <c r="EF71" s="54"/>
      <c r="EG71" s="82"/>
      <c r="EH71" s="17"/>
      <c r="EI71" s="96">
        <f>SUM(EI62:EI70)</f>
        <v>0</v>
      </c>
      <c r="EJ71" s="92"/>
      <c r="EK71" s="54"/>
      <c r="EL71" s="82"/>
      <c r="EM71" s="17"/>
      <c r="EN71" s="96">
        <f>SUM(EN62:EN70)</f>
        <v>0</v>
      </c>
      <c r="EO71" s="92"/>
      <c r="EP71" s="54"/>
      <c r="EQ71" s="82"/>
      <c r="ER71" s="17"/>
      <c r="ES71" s="96">
        <f>SUM(ES62:ES70)</f>
        <v>0</v>
      </c>
      <c r="ET71" s="55"/>
      <c r="EU71" s="55"/>
    </row>
    <row r="72" spans="1:151" ht="15.75" x14ac:dyDescent="0.25">
      <c r="A72" s="58" t="s">
        <v>151</v>
      </c>
      <c r="B72" s="106"/>
      <c r="C72" s="90"/>
      <c r="D72" s="16"/>
      <c r="E72" s="81"/>
      <c r="F72" s="17"/>
      <c r="G72" s="94"/>
      <c r="H72" s="103"/>
      <c r="I72" s="16"/>
      <c r="J72" s="81"/>
      <c r="K72" s="17"/>
      <c r="L72" s="94"/>
      <c r="M72" s="103"/>
      <c r="N72" s="16"/>
      <c r="O72" s="81"/>
      <c r="P72" s="17"/>
      <c r="Q72" s="94"/>
      <c r="R72" s="103"/>
      <c r="S72" s="16"/>
      <c r="T72" s="81"/>
      <c r="U72" s="17"/>
      <c r="V72" s="94"/>
      <c r="W72" s="103"/>
      <c r="X72" s="16"/>
      <c r="Y72" s="81"/>
      <c r="Z72" s="17"/>
      <c r="AA72" s="94"/>
      <c r="AB72" s="103"/>
      <c r="AC72" s="16"/>
      <c r="AD72" s="81"/>
      <c r="AE72" s="17"/>
      <c r="AF72" s="94"/>
      <c r="AG72" s="103"/>
      <c r="AH72" s="16"/>
      <c r="AI72" s="81"/>
      <c r="AJ72" s="17"/>
      <c r="AK72" s="94"/>
      <c r="AL72" s="90"/>
      <c r="AM72" s="16"/>
      <c r="AN72" s="81"/>
      <c r="AO72" s="17"/>
      <c r="AP72" s="99"/>
      <c r="AQ72" s="90"/>
      <c r="AR72" s="16"/>
      <c r="AS72" s="81"/>
      <c r="AT72" s="17"/>
      <c r="AU72" s="99"/>
      <c r="AV72" s="90"/>
      <c r="AW72" s="16"/>
      <c r="AX72" s="81"/>
      <c r="AY72" s="17"/>
      <c r="AZ72" s="99"/>
      <c r="BA72" s="90"/>
      <c r="BB72" s="16"/>
      <c r="BC72" s="81"/>
      <c r="BD72" s="17"/>
      <c r="BE72" s="99"/>
      <c r="BF72" s="90"/>
      <c r="BG72" s="16"/>
      <c r="BH72" s="81"/>
      <c r="BI72" s="17"/>
      <c r="BJ72" s="99"/>
      <c r="BK72" s="90"/>
      <c r="BL72" s="16"/>
      <c r="BM72" s="81"/>
      <c r="BN72" s="17"/>
      <c r="BO72" s="99"/>
      <c r="BP72" s="90"/>
      <c r="BQ72" s="16"/>
      <c r="BR72" s="81"/>
      <c r="BS72" s="17"/>
      <c r="BT72" s="99"/>
      <c r="BU72" s="55"/>
      <c r="BV72" s="106"/>
      <c r="BW72" s="90"/>
      <c r="BX72" s="16"/>
      <c r="BY72" s="81"/>
      <c r="BZ72" s="17"/>
      <c r="CA72" s="94"/>
      <c r="CB72" s="103"/>
      <c r="CC72" s="16"/>
      <c r="CD72" s="81"/>
      <c r="CE72" s="17"/>
      <c r="CF72" s="94"/>
      <c r="CG72" s="103"/>
      <c r="CH72" s="16"/>
      <c r="CI72" s="81"/>
      <c r="CJ72" s="17"/>
      <c r="CK72" s="94"/>
      <c r="CL72" s="103"/>
      <c r="CM72" s="16"/>
      <c r="CN72" s="81"/>
      <c r="CO72" s="17"/>
      <c r="CP72" s="94"/>
      <c r="CQ72" s="103"/>
      <c r="CR72" s="16"/>
      <c r="CS72" s="81"/>
      <c r="CT72" s="17"/>
      <c r="CU72" s="94"/>
      <c r="CV72" s="103"/>
      <c r="CW72" s="16"/>
      <c r="CX72" s="81"/>
      <c r="CY72" s="17"/>
      <c r="CZ72" s="94"/>
      <c r="DA72" s="103"/>
      <c r="DB72" s="16"/>
      <c r="DC72" s="81"/>
      <c r="DD72" s="17"/>
      <c r="DE72" s="94"/>
      <c r="DF72" s="90"/>
      <c r="DG72" s="16"/>
      <c r="DH72" s="81"/>
      <c r="DI72" s="17"/>
      <c r="DJ72" s="99"/>
      <c r="DK72" s="90"/>
      <c r="DL72" s="16"/>
      <c r="DM72" s="81"/>
      <c r="DN72" s="17"/>
      <c r="DO72" s="99"/>
      <c r="DP72" s="90"/>
      <c r="DQ72" s="16"/>
      <c r="DR72" s="81"/>
      <c r="DS72" s="17"/>
      <c r="DT72" s="99"/>
      <c r="DU72" s="90"/>
      <c r="DV72" s="16"/>
      <c r="DW72" s="81"/>
      <c r="DX72" s="17"/>
      <c r="DY72" s="99"/>
      <c r="DZ72" s="90"/>
      <c r="EA72" s="16"/>
      <c r="EB72" s="81"/>
      <c r="EC72" s="17"/>
      <c r="ED72" s="99"/>
      <c r="EE72" s="90"/>
      <c r="EF72" s="16"/>
      <c r="EG72" s="81"/>
      <c r="EH72" s="17"/>
      <c r="EI72" s="99"/>
      <c r="EJ72" s="90"/>
      <c r="EK72" s="16"/>
      <c r="EL72" s="81"/>
      <c r="EM72" s="17"/>
      <c r="EN72" s="99"/>
      <c r="EO72" s="90"/>
      <c r="EP72" s="16"/>
      <c r="EQ72" s="81"/>
      <c r="ER72" s="17"/>
      <c r="ES72" s="99"/>
      <c r="ET72" s="55"/>
      <c r="EU72" s="55"/>
    </row>
    <row r="73" spans="1:151" x14ac:dyDescent="0.25">
      <c r="A73" s="18" t="s">
        <v>152</v>
      </c>
      <c r="B73" s="107">
        <f t="shared" ref="B73:B75" si="493">G73+L73+Q73+V73+AA73+AF73+AK73+AP73+AU73+AZ73+BE73+BJ73+BO73+BT73</f>
        <v>1495050.7699999998</v>
      </c>
      <c r="C73" s="193">
        <v>79488.070000000007</v>
      </c>
      <c r="D73" s="189">
        <v>1</v>
      </c>
      <c r="E73" s="57">
        <f t="shared" ref="E73:E75" si="494">SUM(C73*D73)</f>
        <v>79488.070000000007</v>
      </c>
      <c r="F73" s="20">
        <v>0</v>
      </c>
      <c r="G73" s="95">
        <f t="shared" ref="G73:G75" si="495">E73-E73*F73</f>
        <v>79488.070000000007</v>
      </c>
      <c r="H73" s="120"/>
      <c r="I73" s="19"/>
      <c r="J73" s="57">
        <f t="shared" ref="J73:J75" si="496">SUM(H73*I73)</f>
        <v>0</v>
      </c>
      <c r="K73" s="20"/>
      <c r="L73" s="95">
        <f t="shared" ref="L73:L75" si="497">J73-J73*K73</f>
        <v>0</v>
      </c>
      <c r="M73" s="193">
        <v>96128.320000000007</v>
      </c>
      <c r="N73" s="189">
        <v>1</v>
      </c>
      <c r="O73" s="57">
        <f t="shared" ref="O73" si="498">SUM(M73*N73)</f>
        <v>96128.320000000007</v>
      </c>
      <c r="P73" s="20">
        <v>0</v>
      </c>
      <c r="Q73" s="95">
        <f t="shared" ref="Q73:Q75" si="499">O73-O73*P73</f>
        <v>96128.320000000007</v>
      </c>
      <c r="R73" s="193">
        <v>65775.259999999995</v>
      </c>
      <c r="S73" s="189">
        <v>1</v>
      </c>
      <c r="T73" s="57">
        <f t="shared" ref="T73" si="500">SUM(R73*S73)</f>
        <v>65775.259999999995</v>
      </c>
      <c r="U73" s="20">
        <v>0</v>
      </c>
      <c r="V73" s="95">
        <f t="shared" ref="V73:V75" si="501">T73-T73*U73</f>
        <v>65775.259999999995</v>
      </c>
      <c r="W73" s="193">
        <v>164232.57999999999</v>
      </c>
      <c r="X73" s="189">
        <v>1</v>
      </c>
      <c r="Y73" s="57">
        <f t="shared" ref="Y73" si="502">SUM(W73*X73)</f>
        <v>164232.57999999999</v>
      </c>
      <c r="Z73" s="20">
        <v>0</v>
      </c>
      <c r="AA73" s="95">
        <f t="shared" ref="AA73:AA75" si="503">Y73-Y73*Z73</f>
        <v>164232.57999999999</v>
      </c>
      <c r="AB73" s="193">
        <v>72034.87</v>
      </c>
      <c r="AC73" s="189">
        <v>1</v>
      </c>
      <c r="AD73" s="57">
        <f t="shared" ref="AD73" si="504">SUM(AB73*AC73)</f>
        <v>72034.87</v>
      </c>
      <c r="AE73" s="20">
        <v>0</v>
      </c>
      <c r="AF73" s="95">
        <f t="shared" ref="AF73:AF75" si="505">AD73-AD73*AE73</f>
        <v>72034.87</v>
      </c>
      <c r="AG73" s="193">
        <v>137675.54999999999</v>
      </c>
      <c r="AH73" s="189">
        <v>1</v>
      </c>
      <c r="AI73" s="57">
        <f t="shared" ref="AI73" si="506">SUM(AG73*AH73)</f>
        <v>137675.54999999999</v>
      </c>
      <c r="AJ73" s="20">
        <v>0</v>
      </c>
      <c r="AK73" s="95">
        <f t="shared" ref="AK73:AK75" si="507">AI73-AI73*AJ73</f>
        <v>137675.54999999999</v>
      </c>
      <c r="AL73" s="193">
        <v>194626.08</v>
      </c>
      <c r="AM73" s="189">
        <v>1</v>
      </c>
      <c r="AN73" s="57">
        <f t="shared" ref="AN73" si="508">SUM(AL73*AM73)</f>
        <v>194626.08</v>
      </c>
      <c r="AO73" s="20">
        <v>0</v>
      </c>
      <c r="AP73" s="100">
        <f t="shared" ref="AP73:AP75" si="509">AN73-AN73*AO73</f>
        <v>194626.08</v>
      </c>
      <c r="AQ73" s="193">
        <v>244917.64</v>
      </c>
      <c r="AR73" s="189">
        <v>1</v>
      </c>
      <c r="AS73" s="57">
        <f t="shared" ref="AS73" si="510">SUM(AQ73*AR73)</f>
        <v>244917.64</v>
      </c>
      <c r="AT73" s="20">
        <v>0</v>
      </c>
      <c r="AU73" s="100">
        <f t="shared" ref="AU73:AU75" si="511">AS73-AS73*AT73</f>
        <v>244917.64</v>
      </c>
      <c r="AV73" s="193">
        <v>96460.4</v>
      </c>
      <c r="AW73" s="189">
        <v>1</v>
      </c>
      <c r="AX73" s="57">
        <f t="shared" ref="AX73" si="512">SUM(AV73*AW73)</f>
        <v>96460.4</v>
      </c>
      <c r="AY73" s="20">
        <v>0</v>
      </c>
      <c r="AZ73" s="100">
        <f t="shared" ref="AZ73:AZ75" si="513">AX73-AX73*AY73</f>
        <v>96460.4</v>
      </c>
      <c r="BA73" s="193">
        <v>94566.23</v>
      </c>
      <c r="BB73" s="189">
        <v>1</v>
      </c>
      <c r="BC73" s="57">
        <f t="shared" ref="BC73" si="514">SUM(BA73*BB73)</f>
        <v>94566.23</v>
      </c>
      <c r="BD73" s="20">
        <v>0</v>
      </c>
      <c r="BE73" s="100">
        <f t="shared" ref="BE73:BE75" si="515">BC73-BC73*BD73</f>
        <v>94566.23</v>
      </c>
      <c r="BF73" s="193">
        <v>174431.69</v>
      </c>
      <c r="BG73" s="189">
        <v>1</v>
      </c>
      <c r="BH73" s="57">
        <f t="shared" ref="BH73" si="516">SUM(BF73*BG73)</f>
        <v>174431.69</v>
      </c>
      <c r="BI73" s="20">
        <v>0</v>
      </c>
      <c r="BJ73" s="100">
        <f t="shared" ref="BJ73:BJ75" si="517">BH73-BH73*BI73</f>
        <v>174431.69</v>
      </c>
      <c r="BK73" s="193">
        <v>74714.080000000002</v>
      </c>
      <c r="BL73" s="189">
        <v>1</v>
      </c>
      <c r="BM73" s="57">
        <f t="shared" ref="BM73:BM75" si="518">SUM(BK73*BL73)</f>
        <v>74714.080000000002</v>
      </c>
      <c r="BN73" s="20"/>
      <c r="BO73" s="100">
        <f t="shared" ref="BO73:BO75" si="519">BM73-BM73*BN73</f>
        <v>74714.080000000002</v>
      </c>
      <c r="BP73" s="91"/>
      <c r="BQ73" s="19"/>
      <c r="BR73" s="57">
        <f t="shared" ref="BR73:BR75" si="520">SUM(BP73*BQ73)</f>
        <v>0</v>
      </c>
      <c r="BS73" s="20"/>
      <c r="BT73" s="100">
        <f t="shared" ref="BT73:BT75" si="521">BR73-BR73*BS73</f>
        <v>0</v>
      </c>
      <c r="BU73" s="55"/>
      <c r="BV73" s="107">
        <f>CA73+CF73+CK73+CP73+CU73+CZ73+DE73+DJ73+DO73+DT73+DY73+ED73+EI73+EN73+ES73</f>
        <v>490773.06999999995</v>
      </c>
      <c r="BW73" s="193">
        <v>118084.26</v>
      </c>
      <c r="BX73" s="189">
        <v>1</v>
      </c>
      <c r="BY73" s="57">
        <f t="shared" ref="BY73" si="522">SUM(BW73*BX73)</f>
        <v>118084.26</v>
      </c>
      <c r="BZ73" s="20">
        <v>0</v>
      </c>
      <c r="CA73" s="95">
        <f t="shared" ref="CA73:CA75" si="523">BY73-BY73*BZ73</f>
        <v>118084.26</v>
      </c>
      <c r="CB73" s="193">
        <v>71275.149999999994</v>
      </c>
      <c r="CC73" s="189">
        <v>1</v>
      </c>
      <c r="CD73" s="57">
        <f t="shared" ref="CD73" si="524">SUM(CB73*CC73)</f>
        <v>71275.149999999994</v>
      </c>
      <c r="CE73" s="20">
        <v>0</v>
      </c>
      <c r="CF73" s="95">
        <f t="shared" ref="CF73:CF75" si="525">CD73-CD73*CE73</f>
        <v>71275.149999999994</v>
      </c>
      <c r="CG73" s="193">
        <v>70131.25</v>
      </c>
      <c r="CH73" s="189">
        <v>1</v>
      </c>
      <c r="CI73" s="57">
        <f t="shared" ref="CI73" si="526">SUM(CG73*CH73)</f>
        <v>70131.25</v>
      </c>
      <c r="CJ73" s="20">
        <v>0</v>
      </c>
      <c r="CK73" s="95">
        <f t="shared" ref="CK73:CK75" si="527">CI73-CI73*CJ73</f>
        <v>70131.25</v>
      </c>
      <c r="CL73" s="193">
        <v>65886.64</v>
      </c>
      <c r="CM73" s="189">
        <v>1</v>
      </c>
      <c r="CN73" s="57">
        <f t="shared" ref="CN73" si="528">SUM(CL73*CM73)</f>
        <v>65886.64</v>
      </c>
      <c r="CO73" s="20">
        <v>0</v>
      </c>
      <c r="CP73" s="95">
        <f t="shared" ref="CP73:CP75" si="529">CN73-CN73*CO73</f>
        <v>65886.64</v>
      </c>
      <c r="CQ73" s="193">
        <v>83001.740000000005</v>
      </c>
      <c r="CR73" s="189">
        <v>1</v>
      </c>
      <c r="CS73" s="57">
        <f t="shared" ref="CS73" si="530">SUM(CQ73*CR73)</f>
        <v>83001.740000000005</v>
      </c>
      <c r="CT73" s="20">
        <v>0</v>
      </c>
      <c r="CU73" s="95">
        <f t="shared" ref="CU73:CU75" si="531">CS73-CS73*CT73</f>
        <v>83001.740000000005</v>
      </c>
      <c r="CV73" s="192">
        <v>82394.03</v>
      </c>
      <c r="CW73" s="189">
        <v>1</v>
      </c>
      <c r="CX73" s="57">
        <f t="shared" ref="CX73:CX75" si="532">SUM(CV73*CW73)</f>
        <v>82394.03</v>
      </c>
      <c r="CY73" s="20"/>
      <c r="CZ73" s="95">
        <f t="shared" ref="CZ73:CZ75" si="533">CX73-CX73*CY73</f>
        <v>82394.03</v>
      </c>
      <c r="DA73" s="120"/>
      <c r="DB73" s="19"/>
      <c r="DC73" s="57">
        <f t="shared" ref="DC73:DC75" si="534">SUM(DA73*DB73)</f>
        <v>0</v>
      </c>
      <c r="DD73" s="20"/>
      <c r="DE73" s="95">
        <f t="shared" ref="DE73:DE75" si="535">DC73-DC73*DD73</f>
        <v>0</v>
      </c>
      <c r="DF73" s="91"/>
      <c r="DG73" s="19"/>
      <c r="DH73" s="57">
        <f t="shared" ref="DH73:DH75" si="536">SUM(DF73*DG73)</f>
        <v>0</v>
      </c>
      <c r="DI73" s="20"/>
      <c r="DJ73" s="100">
        <f t="shared" ref="DJ73:DJ75" si="537">DH73-DH73*DI73</f>
        <v>0</v>
      </c>
      <c r="DK73" s="91"/>
      <c r="DL73" s="19"/>
      <c r="DM73" s="57">
        <f t="shared" ref="DM73:DM75" si="538">SUM(DK73*DL73)</f>
        <v>0</v>
      </c>
      <c r="DN73" s="20"/>
      <c r="DO73" s="100">
        <f t="shared" ref="DO73:DO75" si="539">DM73-DM73*DN73</f>
        <v>0</v>
      </c>
      <c r="DP73" s="91"/>
      <c r="DQ73" s="19"/>
      <c r="DR73" s="57">
        <f t="shared" ref="DR73:DR75" si="540">SUM(DP73*DQ73)</f>
        <v>0</v>
      </c>
      <c r="DS73" s="20"/>
      <c r="DT73" s="100">
        <f t="shared" ref="DT73:DT75" si="541">DR73-DR73*DS73</f>
        <v>0</v>
      </c>
      <c r="DU73" s="91"/>
      <c r="DV73" s="19"/>
      <c r="DW73" s="57">
        <f t="shared" ref="DW73:DW75" si="542">SUM(DU73*DV73)</f>
        <v>0</v>
      </c>
      <c r="DX73" s="20"/>
      <c r="DY73" s="100">
        <f t="shared" ref="DY73:DY75" si="543">DW73-DW73*DX73</f>
        <v>0</v>
      </c>
      <c r="DZ73" s="91"/>
      <c r="EA73" s="19"/>
      <c r="EB73" s="57">
        <f t="shared" ref="EB73:EB75" si="544">SUM(DZ73*EA73)</f>
        <v>0</v>
      </c>
      <c r="EC73" s="20"/>
      <c r="ED73" s="100">
        <f t="shared" ref="ED73:ED75" si="545">EB73-EB73*EC73</f>
        <v>0</v>
      </c>
      <c r="EE73" s="91"/>
      <c r="EF73" s="19"/>
      <c r="EG73" s="57">
        <f t="shared" ref="EG73:EG75" si="546">SUM(EE73*EF73)</f>
        <v>0</v>
      </c>
      <c r="EH73" s="20"/>
      <c r="EI73" s="100">
        <f t="shared" ref="EI73:EI75" si="547">EG73-EG73*EH73</f>
        <v>0</v>
      </c>
      <c r="EJ73" s="91"/>
      <c r="EK73" s="19"/>
      <c r="EL73" s="57">
        <f t="shared" ref="EL73:EL75" si="548">SUM(EJ73*EK73)</f>
        <v>0</v>
      </c>
      <c r="EM73" s="20"/>
      <c r="EN73" s="100">
        <f t="shared" ref="EN73:EN75" si="549">EL73-EL73*EM73</f>
        <v>0</v>
      </c>
      <c r="EO73" s="91"/>
      <c r="EP73" s="19"/>
      <c r="EQ73" s="57">
        <f t="shared" ref="EQ73:EQ75" si="550">SUM(EO73*EP73)</f>
        <v>0</v>
      </c>
      <c r="ER73" s="20"/>
      <c r="ES73" s="100">
        <f t="shared" ref="ES73:ES75" si="551">EQ73-EQ73*ER73</f>
        <v>0</v>
      </c>
      <c r="ET73" s="55"/>
      <c r="EU73" s="55"/>
    </row>
    <row r="74" spans="1:151" x14ac:dyDescent="0.25">
      <c r="A74" s="18" t="s">
        <v>153</v>
      </c>
      <c r="B74" s="107">
        <f t="shared" si="493"/>
        <v>0</v>
      </c>
      <c r="C74" s="91"/>
      <c r="D74" s="19"/>
      <c r="E74" s="57">
        <f t="shared" si="494"/>
        <v>0</v>
      </c>
      <c r="F74" s="20"/>
      <c r="G74" s="95">
        <f t="shared" si="495"/>
        <v>0</v>
      </c>
      <c r="H74" s="120"/>
      <c r="I74" s="19"/>
      <c r="J74" s="57">
        <f t="shared" si="496"/>
        <v>0</v>
      </c>
      <c r="K74" s="20"/>
      <c r="L74" s="95">
        <f t="shared" si="497"/>
        <v>0</v>
      </c>
      <c r="M74" s="120"/>
      <c r="N74" s="19"/>
      <c r="O74" s="57">
        <f t="shared" ref="O74:O75" si="552">SUM(M74*N74)</f>
        <v>0</v>
      </c>
      <c r="P74" s="20"/>
      <c r="Q74" s="95">
        <f t="shared" si="499"/>
        <v>0</v>
      </c>
      <c r="R74" s="120"/>
      <c r="S74" s="19"/>
      <c r="T74" s="57">
        <f t="shared" ref="T74:T75" si="553">SUM(R74*S74)</f>
        <v>0</v>
      </c>
      <c r="U74" s="20"/>
      <c r="V74" s="95">
        <f t="shared" si="501"/>
        <v>0</v>
      </c>
      <c r="W74" s="120"/>
      <c r="X74" s="19"/>
      <c r="Y74" s="57">
        <f t="shared" ref="Y74:Y75" si="554">SUM(W74*X74)</f>
        <v>0</v>
      </c>
      <c r="Z74" s="20"/>
      <c r="AA74" s="95">
        <f t="shared" si="503"/>
        <v>0</v>
      </c>
      <c r="AB74" s="120"/>
      <c r="AC74" s="19"/>
      <c r="AD74" s="57">
        <f t="shared" ref="AD74:AD75" si="555">SUM(AB74*AC74)</f>
        <v>0</v>
      </c>
      <c r="AE74" s="20"/>
      <c r="AF74" s="95">
        <f t="shared" si="505"/>
        <v>0</v>
      </c>
      <c r="AG74" s="120"/>
      <c r="AH74" s="19"/>
      <c r="AI74" s="57">
        <f t="shared" ref="AI74:AI75" si="556">SUM(AG74*AH74)</f>
        <v>0</v>
      </c>
      <c r="AJ74" s="20"/>
      <c r="AK74" s="95">
        <f t="shared" si="507"/>
        <v>0</v>
      </c>
      <c r="AL74" s="91"/>
      <c r="AM74" s="19"/>
      <c r="AN74" s="57">
        <f t="shared" ref="AN74:AN75" si="557">SUM(AL74*AM74)</f>
        <v>0</v>
      </c>
      <c r="AO74" s="20"/>
      <c r="AP74" s="100">
        <f t="shared" si="509"/>
        <v>0</v>
      </c>
      <c r="AQ74" s="91"/>
      <c r="AR74" s="19"/>
      <c r="AS74" s="57">
        <f t="shared" ref="AS74:AS75" si="558">SUM(AQ74*AR74)</f>
        <v>0</v>
      </c>
      <c r="AT74" s="20"/>
      <c r="AU74" s="100">
        <f t="shared" si="511"/>
        <v>0</v>
      </c>
      <c r="AV74" s="91"/>
      <c r="AW74" s="19"/>
      <c r="AX74" s="57">
        <f t="shared" ref="AX74:AX75" si="559">SUM(AV74*AW74)</f>
        <v>0</v>
      </c>
      <c r="AY74" s="20"/>
      <c r="AZ74" s="100">
        <f t="shared" si="513"/>
        <v>0</v>
      </c>
      <c r="BA74" s="91"/>
      <c r="BB74" s="19"/>
      <c r="BC74" s="57">
        <f t="shared" ref="BC74:BC75" si="560">SUM(BA74*BB74)</f>
        <v>0</v>
      </c>
      <c r="BD74" s="20"/>
      <c r="BE74" s="100">
        <f t="shared" si="515"/>
        <v>0</v>
      </c>
      <c r="BF74" s="91"/>
      <c r="BG74" s="19"/>
      <c r="BH74" s="57">
        <f t="shared" ref="BH74:BH75" si="561">SUM(BF74*BG74)</f>
        <v>0</v>
      </c>
      <c r="BI74" s="20"/>
      <c r="BJ74" s="100">
        <f t="shared" si="517"/>
        <v>0</v>
      </c>
      <c r="BK74" s="91"/>
      <c r="BL74" s="19"/>
      <c r="BM74" s="57">
        <f t="shared" si="518"/>
        <v>0</v>
      </c>
      <c r="BN74" s="20"/>
      <c r="BO74" s="100">
        <f t="shared" si="519"/>
        <v>0</v>
      </c>
      <c r="BP74" s="91">
        <v>47802</v>
      </c>
      <c r="BQ74" s="19"/>
      <c r="BR74" s="57">
        <f t="shared" si="520"/>
        <v>0</v>
      </c>
      <c r="BS74" s="20"/>
      <c r="BT74" s="100">
        <f t="shared" si="521"/>
        <v>0</v>
      </c>
      <c r="BU74" s="55"/>
      <c r="BV74" s="107">
        <f t="shared" ref="BV74:BV75" si="562">CA74+CF74+CK74+CP74+CU74+CZ74+DE74+DJ74+DO74+DT74+DY74+ED74+EI74+EN74+ES74</f>
        <v>0</v>
      </c>
      <c r="BW74" s="91"/>
      <c r="BX74" s="19"/>
      <c r="BY74" s="57">
        <f t="shared" ref="BY74:BY75" si="563">SUM(BW74*BX74)</f>
        <v>0</v>
      </c>
      <c r="BZ74" s="20"/>
      <c r="CA74" s="95">
        <f t="shared" si="523"/>
        <v>0</v>
      </c>
      <c r="CB74" s="120"/>
      <c r="CC74" s="19"/>
      <c r="CD74" s="57">
        <f t="shared" ref="CD74:CD75" si="564">SUM(CB74*CC74)</f>
        <v>0</v>
      </c>
      <c r="CE74" s="20"/>
      <c r="CF74" s="95">
        <f t="shared" si="525"/>
        <v>0</v>
      </c>
      <c r="CG74" s="120"/>
      <c r="CH74" s="19"/>
      <c r="CI74" s="57">
        <f t="shared" ref="CI74:CI75" si="565">SUM(CG74*CH74)</f>
        <v>0</v>
      </c>
      <c r="CJ74" s="20"/>
      <c r="CK74" s="95">
        <f t="shared" si="527"/>
        <v>0</v>
      </c>
      <c r="CL74" s="120"/>
      <c r="CM74" s="19"/>
      <c r="CN74" s="57">
        <f t="shared" ref="CN74:CN75" si="566">SUM(CL74*CM74)</f>
        <v>0</v>
      </c>
      <c r="CO74" s="20"/>
      <c r="CP74" s="95">
        <f t="shared" si="529"/>
        <v>0</v>
      </c>
      <c r="CQ74" s="120"/>
      <c r="CR74" s="19"/>
      <c r="CS74" s="57">
        <f t="shared" ref="CS74:CS75" si="567">SUM(CQ74*CR74)</f>
        <v>0</v>
      </c>
      <c r="CT74" s="20"/>
      <c r="CU74" s="95">
        <f t="shared" si="531"/>
        <v>0</v>
      </c>
      <c r="CV74" s="120"/>
      <c r="CW74" s="19"/>
      <c r="CX74" s="57">
        <f t="shared" si="532"/>
        <v>0</v>
      </c>
      <c r="CY74" s="20"/>
      <c r="CZ74" s="95">
        <f t="shared" si="533"/>
        <v>0</v>
      </c>
      <c r="DA74" s="120"/>
      <c r="DB74" s="19"/>
      <c r="DC74" s="57">
        <f t="shared" si="534"/>
        <v>0</v>
      </c>
      <c r="DD74" s="20"/>
      <c r="DE74" s="95">
        <f t="shared" si="535"/>
        <v>0</v>
      </c>
      <c r="DF74" s="91"/>
      <c r="DG74" s="19"/>
      <c r="DH74" s="57">
        <f t="shared" si="536"/>
        <v>0</v>
      </c>
      <c r="DI74" s="20"/>
      <c r="DJ74" s="100">
        <f t="shared" si="537"/>
        <v>0</v>
      </c>
      <c r="DK74" s="91"/>
      <c r="DL74" s="19"/>
      <c r="DM74" s="57">
        <f t="shared" si="538"/>
        <v>0</v>
      </c>
      <c r="DN74" s="20"/>
      <c r="DO74" s="100">
        <f t="shared" si="539"/>
        <v>0</v>
      </c>
      <c r="DP74" s="91"/>
      <c r="DQ74" s="19"/>
      <c r="DR74" s="57">
        <f t="shared" si="540"/>
        <v>0</v>
      </c>
      <c r="DS74" s="20"/>
      <c r="DT74" s="100">
        <f t="shared" si="541"/>
        <v>0</v>
      </c>
      <c r="DU74" s="91"/>
      <c r="DV74" s="19"/>
      <c r="DW74" s="57">
        <f t="shared" si="542"/>
        <v>0</v>
      </c>
      <c r="DX74" s="20"/>
      <c r="DY74" s="100">
        <f t="shared" si="543"/>
        <v>0</v>
      </c>
      <c r="DZ74" s="91"/>
      <c r="EA74" s="19"/>
      <c r="EB74" s="57">
        <f t="shared" si="544"/>
        <v>0</v>
      </c>
      <c r="EC74" s="20"/>
      <c r="ED74" s="100">
        <f t="shared" si="545"/>
        <v>0</v>
      </c>
      <c r="EE74" s="91"/>
      <c r="EF74" s="19"/>
      <c r="EG74" s="57">
        <f t="shared" si="546"/>
        <v>0</v>
      </c>
      <c r="EH74" s="20"/>
      <c r="EI74" s="100">
        <f t="shared" si="547"/>
        <v>0</v>
      </c>
      <c r="EJ74" s="91"/>
      <c r="EK74" s="19"/>
      <c r="EL74" s="57">
        <f t="shared" si="548"/>
        <v>0</v>
      </c>
      <c r="EM74" s="20"/>
      <c r="EN74" s="100">
        <f t="shared" si="549"/>
        <v>0</v>
      </c>
      <c r="EO74" s="91"/>
      <c r="EP74" s="19"/>
      <c r="EQ74" s="57">
        <f t="shared" si="550"/>
        <v>0</v>
      </c>
      <c r="ER74" s="20"/>
      <c r="ES74" s="100">
        <f t="shared" si="551"/>
        <v>0</v>
      </c>
      <c r="ET74" s="55"/>
      <c r="EU74" s="55"/>
    </row>
    <row r="75" spans="1:151" x14ac:dyDescent="0.25">
      <c r="A75" s="18"/>
      <c r="B75" s="107">
        <f t="shared" si="493"/>
        <v>0</v>
      </c>
      <c r="C75" s="91"/>
      <c r="D75" s="19"/>
      <c r="E75" s="57">
        <f t="shared" si="494"/>
        <v>0</v>
      </c>
      <c r="F75" s="20"/>
      <c r="G75" s="95">
        <f t="shared" si="495"/>
        <v>0</v>
      </c>
      <c r="H75" s="120"/>
      <c r="I75" s="19"/>
      <c r="J75" s="57">
        <f t="shared" si="496"/>
        <v>0</v>
      </c>
      <c r="K75" s="20"/>
      <c r="L75" s="95">
        <f t="shared" si="497"/>
        <v>0</v>
      </c>
      <c r="M75" s="120"/>
      <c r="N75" s="19"/>
      <c r="O75" s="57">
        <f t="shared" si="552"/>
        <v>0</v>
      </c>
      <c r="P75" s="20"/>
      <c r="Q75" s="95">
        <f t="shared" si="499"/>
        <v>0</v>
      </c>
      <c r="R75" s="120"/>
      <c r="S75" s="19"/>
      <c r="T75" s="57">
        <f t="shared" si="553"/>
        <v>0</v>
      </c>
      <c r="U75" s="20"/>
      <c r="V75" s="95">
        <f t="shared" si="501"/>
        <v>0</v>
      </c>
      <c r="W75" s="120"/>
      <c r="X75" s="19"/>
      <c r="Y75" s="57">
        <f t="shared" si="554"/>
        <v>0</v>
      </c>
      <c r="Z75" s="20"/>
      <c r="AA75" s="95">
        <f t="shared" si="503"/>
        <v>0</v>
      </c>
      <c r="AB75" s="120"/>
      <c r="AC75" s="19"/>
      <c r="AD75" s="57">
        <f t="shared" si="555"/>
        <v>0</v>
      </c>
      <c r="AE75" s="20"/>
      <c r="AF75" s="95">
        <f t="shared" si="505"/>
        <v>0</v>
      </c>
      <c r="AG75" s="120"/>
      <c r="AH75" s="19"/>
      <c r="AI75" s="57">
        <f t="shared" si="556"/>
        <v>0</v>
      </c>
      <c r="AJ75" s="20"/>
      <c r="AK75" s="95">
        <f t="shared" si="507"/>
        <v>0</v>
      </c>
      <c r="AL75" s="91"/>
      <c r="AM75" s="19"/>
      <c r="AN75" s="57">
        <f t="shared" si="557"/>
        <v>0</v>
      </c>
      <c r="AO75" s="20"/>
      <c r="AP75" s="100">
        <f t="shared" si="509"/>
        <v>0</v>
      </c>
      <c r="AQ75" s="91"/>
      <c r="AR75" s="19"/>
      <c r="AS75" s="57">
        <f t="shared" si="558"/>
        <v>0</v>
      </c>
      <c r="AT75" s="20"/>
      <c r="AU75" s="100">
        <f t="shared" si="511"/>
        <v>0</v>
      </c>
      <c r="AV75" s="91"/>
      <c r="AW75" s="19"/>
      <c r="AX75" s="57">
        <f t="shared" si="559"/>
        <v>0</v>
      </c>
      <c r="AY75" s="20"/>
      <c r="AZ75" s="100">
        <f t="shared" si="513"/>
        <v>0</v>
      </c>
      <c r="BA75" s="91"/>
      <c r="BB75" s="19"/>
      <c r="BC75" s="57">
        <f t="shared" si="560"/>
        <v>0</v>
      </c>
      <c r="BD75" s="20"/>
      <c r="BE75" s="100">
        <f t="shared" si="515"/>
        <v>0</v>
      </c>
      <c r="BF75" s="91"/>
      <c r="BG75" s="19"/>
      <c r="BH75" s="57">
        <f t="shared" si="561"/>
        <v>0</v>
      </c>
      <c r="BI75" s="20"/>
      <c r="BJ75" s="100">
        <f t="shared" si="517"/>
        <v>0</v>
      </c>
      <c r="BK75" s="91"/>
      <c r="BL75" s="19"/>
      <c r="BM75" s="57">
        <f t="shared" si="518"/>
        <v>0</v>
      </c>
      <c r="BN75" s="20"/>
      <c r="BO75" s="100">
        <f t="shared" si="519"/>
        <v>0</v>
      </c>
      <c r="BP75" s="91"/>
      <c r="BQ75" s="19"/>
      <c r="BR75" s="57">
        <f t="shared" si="520"/>
        <v>0</v>
      </c>
      <c r="BS75" s="20"/>
      <c r="BT75" s="100">
        <f t="shared" si="521"/>
        <v>0</v>
      </c>
      <c r="BU75" s="55"/>
      <c r="BV75" s="107">
        <f t="shared" si="562"/>
        <v>0</v>
      </c>
      <c r="BW75" s="91"/>
      <c r="BX75" s="19"/>
      <c r="BY75" s="57">
        <f t="shared" si="563"/>
        <v>0</v>
      </c>
      <c r="BZ75" s="20"/>
      <c r="CA75" s="95">
        <f t="shared" si="523"/>
        <v>0</v>
      </c>
      <c r="CB75" s="120"/>
      <c r="CC75" s="19"/>
      <c r="CD75" s="57">
        <f t="shared" si="564"/>
        <v>0</v>
      </c>
      <c r="CE75" s="20"/>
      <c r="CF75" s="95">
        <f t="shared" si="525"/>
        <v>0</v>
      </c>
      <c r="CG75" s="120"/>
      <c r="CH75" s="19"/>
      <c r="CI75" s="57">
        <f t="shared" si="565"/>
        <v>0</v>
      </c>
      <c r="CJ75" s="20"/>
      <c r="CK75" s="95">
        <f t="shared" si="527"/>
        <v>0</v>
      </c>
      <c r="CL75" s="120"/>
      <c r="CM75" s="19"/>
      <c r="CN75" s="57">
        <f t="shared" si="566"/>
        <v>0</v>
      </c>
      <c r="CO75" s="20"/>
      <c r="CP75" s="95">
        <f t="shared" si="529"/>
        <v>0</v>
      </c>
      <c r="CQ75" s="120"/>
      <c r="CR75" s="19"/>
      <c r="CS75" s="57">
        <f t="shared" si="567"/>
        <v>0</v>
      </c>
      <c r="CT75" s="20"/>
      <c r="CU75" s="95">
        <f t="shared" si="531"/>
        <v>0</v>
      </c>
      <c r="CV75" s="120"/>
      <c r="CW75" s="19"/>
      <c r="CX75" s="57">
        <f t="shared" si="532"/>
        <v>0</v>
      </c>
      <c r="CY75" s="20"/>
      <c r="CZ75" s="95">
        <f t="shared" si="533"/>
        <v>0</v>
      </c>
      <c r="DA75" s="120"/>
      <c r="DB75" s="19"/>
      <c r="DC75" s="57">
        <f t="shared" si="534"/>
        <v>0</v>
      </c>
      <c r="DD75" s="20"/>
      <c r="DE75" s="95">
        <f t="shared" si="535"/>
        <v>0</v>
      </c>
      <c r="DF75" s="91"/>
      <c r="DG75" s="19"/>
      <c r="DH75" s="57">
        <f t="shared" si="536"/>
        <v>0</v>
      </c>
      <c r="DI75" s="20"/>
      <c r="DJ75" s="100">
        <f t="shared" si="537"/>
        <v>0</v>
      </c>
      <c r="DK75" s="91"/>
      <c r="DL75" s="19"/>
      <c r="DM75" s="57">
        <f t="shared" si="538"/>
        <v>0</v>
      </c>
      <c r="DN75" s="20"/>
      <c r="DO75" s="100">
        <f t="shared" si="539"/>
        <v>0</v>
      </c>
      <c r="DP75" s="91"/>
      <c r="DQ75" s="19"/>
      <c r="DR75" s="57">
        <f t="shared" si="540"/>
        <v>0</v>
      </c>
      <c r="DS75" s="20"/>
      <c r="DT75" s="100">
        <f t="shared" si="541"/>
        <v>0</v>
      </c>
      <c r="DU75" s="91"/>
      <c r="DV75" s="19"/>
      <c r="DW75" s="57">
        <f t="shared" si="542"/>
        <v>0</v>
      </c>
      <c r="DX75" s="20"/>
      <c r="DY75" s="100">
        <f t="shared" si="543"/>
        <v>0</v>
      </c>
      <c r="DZ75" s="91"/>
      <c r="EA75" s="19"/>
      <c r="EB75" s="57">
        <f t="shared" si="544"/>
        <v>0</v>
      </c>
      <c r="EC75" s="20"/>
      <c r="ED75" s="100">
        <f t="shared" si="545"/>
        <v>0</v>
      </c>
      <c r="EE75" s="91"/>
      <c r="EF75" s="19"/>
      <c r="EG75" s="57">
        <f t="shared" si="546"/>
        <v>0</v>
      </c>
      <c r="EH75" s="20"/>
      <c r="EI75" s="100">
        <f t="shared" si="547"/>
        <v>0</v>
      </c>
      <c r="EJ75" s="91"/>
      <c r="EK75" s="19"/>
      <c r="EL75" s="57">
        <f t="shared" si="548"/>
        <v>0</v>
      </c>
      <c r="EM75" s="20"/>
      <c r="EN75" s="100">
        <f t="shared" si="549"/>
        <v>0</v>
      </c>
      <c r="EO75" s="91"/>
      <c r="EP75" s="19"/>
      <c r="EQ75" s="57">
        <f t="shared" si="550"/>
        <v>0</v>
      </c>
      <c r="ER75" s="20"/>
      <c r="ES75" s="100">
        <f t="shared" si="551"/>
        <v>0</v>
      </c>
      <c r="ET75" s="55"/>
      <c r="EU75" s="55"/>
    </row>
    <row r="76" spans="1:151" x14ac:dyDescent="0.25">
      <c r="A76" s="53" t="s">
        <v>107</v>
      </c>
      <c r="B76" s="108">
        <f>SUM(B73:B75)</f>
        <v>1495050.7699999998</v>
      </c>
      <c r="C76" s="92"/>
      <c r="D76" s="54"/>
      <c r="E76" s="82"/>
      <c r="F76" s="17"/>
      <c r="G76" s="96">
        <f>SUM(G73:G75)</f>
        <v>79488.070000000007</v>
      </c>
      <c r="H76" s="121"/>
      <c r="I76" s="54"/>
      <c r="J76" s="82"/>
      <c r="K76" s="17"/>
      <c r="L76" s="96">
        <f>SUM(L73:L75)</f>
        <v>0</v>
      </c>
      <c r="M76" s="121"/>
      <c r="N76" s="54"/>
      <c r="O76" s="82"/>
      <c r="P76" s="17"/>
      <c r="Q76" s="96">
        <f>SUM(Q73:Q75)</f>
        <v>96128.320000000007</v>
      </c>
      <c r="R76" s="121"/>
      <c r="S76" s="54"/>
      <c r="T76" s="82"/>
      <c r="U76" s="17"/>
      <c r="V76" s="96">
        <f>SUM(V73:V75)</f>
        <v>65775.259999999995</v>
      </c>
      <c r="W76" s="121"/>
      <c r="X76" s="54"/>
      <c r="Y76" s="82"/>
      <c r="Z76" s="17"/>
      <c r="AA76" s="96">
        <f>SUM(AA73:AA75)</f>
        <v>164232.57999999999</v>
      </c>
      <c r="AB76" s="121"/>
      <c r="AC76" s="54"/>
      <c r="AD76" s="82"/>
      <c r="AE76" s="17"/>
      <c r="AF76" s="96">
        <f>SUM(AF73:AF75)</f>
        <v>72034.87</v>
      </c>
      <c r="AG76" s="121"/>
      <c r="AH76" s="54"/>
      <c r="AI76" s="82"/>
      <c r="AJ76" s="17"/>
      <c r="AK76" s="96">
        <f>SUM(AK73:AK75)</f>
        <v>137675.54999999999</v>
      </c>
      <c r="AL76" s="92"/>
      <c r="AM76" s="54"/>
      <c r="AN76" s="82"/>
      <c r="AO76" s="17"/>
      <c r="AP76" s="96">
        <f>SUM(AP73:AP75)</f>
        <v>194626.08</v>
      </c>
      <c r="AQ76" s="92"/>
      <c r="AR76" s="54"/>
      <c r="AS76" s="82"/>
      <c r="AT76" s="17"/>
      <c r="AU76" s="96">
        <f>SUM(AU73:AU75)</f>
        <v>244917.64</v>
      </c>
      <c r="AV76" s="92"/>
      <c r="AW76" s="54"/>
      <c r="AX76" s="82"/>
      <c r="AY76" s="17"/>
      <c r="AZ76" s="96">
        <f>SUM(AZ73:AZ75)</f>
        <v>96460.4</v>
      </c>
      <c r="BA76" s="92"/>
      <c r="BB76" s="54"/>
      <c r="BC76" s="82"/>
      <c r="BD76" s="17"/>
      <c r="BE76" s="96">
        <f>SUM(BE73:BE75)</f>
        <v>94566.23</v>
      </c>
      <c r="BF76" s="92"/>
      <c r="BG76" s="54"/>
      <c r="BH76" s="82"/>
      <c r="BI76" s="17"/>
      <c r="BJ76" s="96">
        <f>SUM(BJ73:BJ75)</f>
        <v>174431.69</v>
      </c>
      <c r="BK76" s="92"/>
      <c r="BL76" s="54"/>
      <c r="BM76" s="82"/>
      <c r="BN76" s="17"/>
      <c r="BO76" s="96">
        <f>SUM(BO73:BO75)</f>
        <v>74714.080000000002</v>
      </c>
      <c r="BP76" s="92"/>
      <c r="BQ76" s="54"/>
      <c r="BR76" s="82"/>
      <c r="BS76" s="17"/>
      <c r="BT76" s="96">
        <f>SUM(BT73:BT75)</f>
        <v>0</v>
      </c>
      <c r="BU76" s="55"/>
      <c r="BV76" s="108">
        <f>SUM(BV73:BV75)</f>
        <v>490773.06999999995</v>
      </c>
      <c r="BW76" s="92"/>
      <c r="BX76" s="54"/>
      <c r="BY76" s="82"/>
      <c r="BZ76" s="17"/>
      <c r="CA76" s="96">
        <f>SUM(CA73:CA75)</f>
        <v>118084.26</v>
      </c>
      <c r="CB76" s="121"/>
      <c r="CC76" s="54"/>
      <c r="CD76" s="82"/>
      <c r="CE76" s="17"/>
      <c r="CF76" s="96">
        <f>SUM(CF73:CF75)</f>
        <v>71275.149999999994</v>
      </c>
      <c r="CG76" s="121"/>
      <c r="CH76" s="54"/>
      <c r="CI76" s="82"/>
      <c r="CJ76" s="17"/>
      <c r="CK76" s="96">
        <f>SUM(CK73:CK75)</f>
        <v>70131.25</v>
      </c>
      <c r="CL76" s="121"/>
      <c r="CM76" s="54"/>
      <c r="CN76" s="82"/>
      <c r="CO76" s="17"/>
      <c r="CP76" s="96">
        <f>SUM(CP73:CP75)</f>
        <v>65886.64</v>
      </c>
      <c r="CQ76" s="121"/>
      <c r="CR76" s="54"/>
      <c r="CS76" s="82"/>
      <c r="CT76" s="17"/>
      <c r="CU76" s="96">
        <f>SUM(CU73:CU75)</f>
        <v>83001.740000000005</v>
      </c>
      <c r="CV76" s="121"/>
      <c r="CW76" s="54"/>
      <c r="CX76" s="82"/>
      <c r="CY76" s="17"/>
      <c r="CZ76" s="96">
        <f>SUM(CZ73:CZ75)</f>
        <v>82394.03</v>
      </c>
      <c r="DA76" s="121"/>
      <c r="DB76" s="54"/>
      <c r="DC76" s="82"/>
      <c r="DD76" s="17"/>
      <c r="DE76" s="96">
        <f>SUM(DE73:DE75)</f>
        <v>0</v>
      </c>
      <c r="DF76" s="92"/>
      <c r="DG76" s="54"/>
      <c r="DH76" s="82"/>
      <c r="DI76" s="17"/>
      <c r="DJ76" s="96">
        <f>SUM(DJ73:DJ75)</f>
        <v>0</v>
      </c>
      <c r="DK76" s="92"/>
      <c r="DL76" s="54"/>
      <c r="DM76" s="82"/>
      <c r="DN76" s="17"/>
      <c r="DO76" s="96">
        <f>SUM(DO73:DO75)</f>
        <v>0</v>
      </c>
      <c r="DP76" s="92"/>
      <c r="DQ76" s="54"/>
      <c r="DR76" s="82"/>
      <c r="DS76" s="17"/>
      <c r="DT76" s="96">
        <f>SUM(DT73:DT75)</f>
        <v>0</v>
      </c>
      <c r="DU76" s="92"/>
      <c r="DV76" s="54"/>
      <c r="DW76" s="82"/>
      <c r="DX76" s="17"/>
      <c r="DY76" s="96">
        <f>SUM(DY73:DY75)</f>
        <v>0</v>
      </c>
      <c r="DZ76" s="92"/>
      <c r="EA76" s="54"/>
      <c r="EB76" s="82"/>
      <c r="EC76" s="17"/>
      <c r="ED76" s="96">
        <f>SUM(ED73:ED75)</f>
        <v>0</v>
      </c>
      <c r="EE76" s="92"/>
      <c r="EF76" s="54"/>
      <c r="EG76" s="82"/>
      <c r="EH76" s="17"/>
      <c r="EI76" s="96">
        <f>SUM(EI73:EI75)</f>
        <v>0</v>
      </c>
      <c r="EJ76" s="92"/>
      <c r="EK76" s="54"/>
      <c r="EL76" s="82"/>
      <c r="EM76" s="17"/>
      <c r="EN76" s="96">
        <f>SUM(EN73:EN75)</f>
        <v>0</v>
      </c>
      <c r="EO76" s="92"/>
      <c r="EP76" s="54"/>
      <c r="EQ76" s="82"/>
      <c r="ER76" s="17"/>
      <c r="ES76" s="96">
        <f>SUM(ES73:ES75)</f>
        <v>0</v>
      </c>
      <c r="ET76" s="55"/>
      <c r="EU76" s="55"/>
    </row>
    <row r="77" spans="1:151" x14ac:dyDescent="0.25">
      <c r="A77" s="25"/>
      <c r="B77" s="109"/>
      <c r="C77" s="93"/>
      <c r="D77" s="26"/>
      <c r="E77" s="69"/>
      <c r="F77" s="27"/>
      <c r="G77" s="97"/>
      <c r="H77" s="122"/>
      <c r="I77" s="26"/>
      <c r="J77" s="69"/>
      <c r="K77" s="27"/>
      <c r="L77" s="97"/>
      <c r="M77" s="122"/>
      <c r="N77" s="26"/>
      <c r="O77" s="69"/>
      <c r="P77" s="27"/>
      <c r="Q77" s="97"/>
      <c r="R77" s="122"/>
      <c r="S77" s="26"/>
      <c r="T77" s="69"/>
      <c r="U77" s="27"/>
      <c r="V77" s="97"/>
      <c r="W77" s="122"/>
      <c r="X77" s="26"/>
      <c r="Y77" s="69"/>
      <c r="Z77" s="27"/>
      <c r="AA77" s="97"/>
      <c r="AB77" s="122"/>
      <c r="AC77" s="26"/>
      <c r="AD77" s="69"/>
      <c r="AE77" s="27"/>
      <c r="AF77" s="97"/>
      <c r="AG77" s="122"/>
      <c r="AH77" s="26"/>
      <c r="AI77" s="69"/>
      <c r="AJ77" s="27"/>
      <c r="AK77" s="97"/>
      <c r="AL77" s="93"/>
      <c r="AM77" s="26"/>
      <c r="AN77" s="69"/>
      <c r="AO77" s="27"/>
      <c r="AP77" s="101"/>
      <c r="AQ77" s="93"/>
      <c r="AR77" s="26"/>
      <c r="AS77" s="69"/>
      <c r="AT77" s="27"/>
      <c r="AU77" s="101"/>
      <c r="AV77" s="93"/>
      <c r="AW77" s="26"/>
      <c r="AX77" s="69"/>
      <c r="AY77" s="27"/>
      <c r="AZ77" s="101"/>
      <c r="BA77" s="93"/>
      <c r="BB77" s="26"/>
      <c r="BC77" s="69"/>
      <c r="BD77" s="27"/>
      <c r="BE77" s="101"/>
      <c r="BF77" s="93"/>
      <c r="BG77" s="26"/>
      <c r="BH77" s="69"/>
      <c r="BI77" s="27"/>
      <c r="BJ77" s="101"/>
      <c r="BK77" s="93"/>
      <c r="BL77" s="26"/>
      <c r="BM77" s="69"/>
      <c r="BN77" s="27"/>
      <c r="BO77" s="101"/>
      <c r="BP77" s="93"/>
      <c r="BQ77" s="26"/>
      <c r="BR77" s="69"/>
      <c r="BS77" s="27"/>
      <c r="BT77" s="101"/>
      <c r="BU77" s="55"/>
      <c r="BV77" s="154"/>
      <c r="BW77" s="155"/>
      <c r="BX77" s="156"/>
      <c r="BY77" s="157"/>
      <c r="BZ77" s="158"/>
      <c r="CA77" s="159"/>
      <c r="CB77" s="160"/>
      <c r="CC77" s="156"/>
      <c r="CD77" s="157"/>
      <c r="CE77" s="158"/>
      <c r="CF77" s="159"/>
      <c r="CG77" s="160"/>
      <c r="CH77" s="156"/>
      <c r="CI77" s="157"/>
      <c r="CJ77" s="158"/>
      <c r="CK77" s="159"/>
      <c r="CL77" s="160"/>
      <c r="CM77" s="156"/>
      <c r="CN77" s="157"/>
      <c r="CO77" s="158"/>
      <c r="CP77" s="159"/>
      <c r="CQ77" s="160"/>
      <c r="CR77" s="156"/>
      <c r="CS77" s="157"/>
      <c r="CT77" s="158"/>
      <c r="CU77" s="159"/>
      <c r="CV77" s="160"/>
      <c r="CW77" s="156"/>
      <c r="CX77" s="157"/>
      <c r="CY77" s="158"/>
      <c r="CZ77" s="159"/>
      <c r="DA77" s="160"/>
      <c r="DB77" s="156"/>
      <c r="DC77" s="157"/>
      <c r="DD77" s="158"/>
      <c r="DE77" s="159"/>
      <c r="DF77" s="155"/>
      <c r="DG77" s="156"/>
      <c r="DH77" s="157"/>
      <c r="DI77" s="158"/>
      <c r="DJ77" s="161"/>
      <c r="DK77" s="155"/>
      <c r="DL77" s="156"/>
      <c r="DM77" s="157"/>
      <c r="DN77" s="158"/>
      <c r="DO77" s="161"/>
      <c r="DP77" s="155"/>
      <c r="DQ77" s="156"/>
      <c r="DR77" s="157"/>
      <c r="DS77" s="158"/>
      <c r="DT77" s="161"/>
      <c r="DU77" s="155"/>
      <c r="DV77" s="156"/>
      <c r="DW77" s="157"/>
      <c r="DX77" s="158"/>
      <c r="DY77" s="161"/>
      <c r="DZ77" s="155"/>
      <c r="EA77" s="156"/>
      <c r="EB77" s="157"/>
      <c r="EC77" s="158"/>
      <c r="ED77" s="161"/>
      <c r="EE77" s="155"/>
      <c r="EF77" s="156"/>
      <c r="EG77" s="157"/>
      <c r="EH77" s="158"/>
      <c r="EI77" s="161"/>
      <c r="EJ77" s="155"/>
      <c r="EK77" s="156"/>
      <c r="EL77" s="157"/>
      <c r="EM77" s="158"/>
      <c r="EN77" s="161"/>
      <c r="EO77" s="155"/>
      <c r="EP77" s="156"/>
      <c r="EQ77" s="157"/>
      <c r="ER77" s="158"/>
      <c r="ES77" s="161"/>
      <c r="ET77" s="55"/>
      <c r="EU77" s="55"/>
    </row>
    <row r="78" spans="1:151" s="22" customFormat="1" ht="18.75" x14ac:dyDescent="0.3">
      <c r="A78" s="52" t="s">
        <v>11</v>
      </c>
      <c r="B78" s="108">
        <f>SUM(B15,B22,B31,B51,B60,B71,B76)</f>
        <v>9722312.1963636372</v>
      </c>
      <c r="C78" s="90"/>
      <c r="D78" s="16"/>
      <c r="E78" s="81"/>
      <c r="F78" s="17"/>
      <c r="G78" s="96">
        <f>SUM(G15,G22,G31,G51,G60,G71,G76)</f>
        <v>1778033.84</v>
      </c>
      <c r="H78" s="103"/>
      <c r="I78" s="16"/>
      <c r="J78" s="81"/>
      <c r="K78" s="17"/>
      <c r="L78" s="96">
        <f>SUM(L15,L22,L31,L51,L60,L71,L76)</f>
        <v>0</v>
      </c>
      <c r="M78" s="103"/>
      <c r="N78" s="16"/>
      <c r="O78" s="81"/>
      <c r="P78" s="17"/>
      <c r="Q78" s="96">
        <f>SUM(Q15,Q22,Q31,Q51,Q60,Q71,Q76)</f>
        <v>501808.72499999998</v>
      </c>
      <c r="R78" s="103"/>
      <c r="S78" s="16"/>
      <c r="T78" s="81"/>
      <c r="U78" s="17"/>
      <c r="V78" s="96">
        <f>SUM(V15,V22,V31,V51,V60,V71,V76)</f>
        <v>473866.91499999998</v>
      </c>
      <c r="W78" s="103"/>
      <c r="X78" s="16"/>
      <c r="Y78" s="81"/>
      <c r="Z78" s="17"/>
      <c r="AA78" s="96">
        <f>SUM(AA15,AA22,AA31,AA51,AA60,AA71,AA76)</f>
        <v>710461.66999999993</v>
      </c>
      <c r="AB78" s="103"/>
      <c r="AC78" s="16"/>
      <c r="AD78" s="81"/>
      <c r="AE78" s="17"/>
      <c r="AF78" s="96">
        <f>SUM(AF15,AF22,AF31,AF51,AF60,AF71,AF76)</f>
        <v>619609.08499999996</v>
      </c>
      <c r="AG78" s="103"/>
      <c r="AH78" s="16"/>
      <c r="AI78" s="81"/>
      <c r="AJ78" s="17"/>
      <c r="AK78" s="96">
        <f>SUM(AK15,AK22,AK31,AK51,AK60,AK71,AK76)</f>
        <v>1154668.1671212122</v>
      </c>
      <c r="AL78" s="90"/>
      <c r="AM78" s="16"/>
      <c r="AN78" s="81"/>
      <c r="AO78" s="17"/>
      <c r="AP78" s="96">
        <f>SUM(AP15,AP22,AP31,AP51,AP60,AP71,AP76)</f>
        <v>1306929.3571212124</v>
      </c>
      <c r="AQ78" s="90"/>
      <c r="AR78" s="16"/>
      <c r="AS78" s="81"/>
      <c r="AT78" s="17"/>
      <c r="AU78" s="96">
        <f>SUM(AU15,AU22,AU31,AU51,AU60,AU71,AU76)</f>
        <v>721679.73</v>
      </c>
      <c r="AV78" s="90"/>
      <c r="AW78" s="16"/>
      <c r="AX78" s="81"/>
      <c r="AY78" s="17"/>
      <c r="AZ78" s="96">
        <f>SUM(AZ15,AZ22,AZ31,AZ51,AZ60,AZ71,AZ76)</f>
        <v>573477.99</v>
      </c>
      <c r="BA78" s="90"/>
      <c r="BB78" s="16"/>
      <c r="BC78" s="81"/>
      <c r="BD78" s="17"/>
      <c r="BE78" s="96">
        <f>SUM(BE15,BE22,BE31,BE51,BE60,BE71,BE76)</f>
        <v>1072487.8771212122</v>
      </c>
      <c r="BF78" s="90"/>
      <c r="BG78" s="16"/>
      <c r="BH78" s="81"/>
      <c r="BI78" s="17"/>
      <c r="BJ78" s="96">
        <f>SUM(BJ15,BJ22,BJ31,BJ51,BJ60,BJ71,BJ76)</f>
        <v>467209.65</v>
      </c>
      <c r="BK78" s="90"/>
      <c r="BL78" s="16"/>
      <c r="BM78" s="81"/>
      <c r="BN78" s="17"/>
      <c r="BO78" s="96">
        <f>SUM(BO15,BO22,BO31,BO51,BO60,BO71,BO76)</f>
        <v>74714.080000000002</v>
      </c>
      <c r="BP78" s="90"/>
      <c r="BQ78" s="16"/>
      <c r="BR78" s="81"/>
      <c r="BS78" s="17"/>
      <c r="BT78" s="96">
        <f>SUM(BT15,BT22,BT31,BT51,BT60,BT71,BT76)</f>
        <v>267365.11</v>
      </c>
      <c r="BU78" s="56"/>
      <c r="BV78" s="108">
        <f>SUM(BV15,BV22,BV31,BV51,BV60,BV71,BV76)</f>
        <v>4864073.3556060605</v>
      </c>
      <c r="BW78" s="90"/>
      <c r="BX78" s="16"/>
      <c r="BY78" s="81"/>
      <c r="BZ78" s="17"/>
      <c r="CA78" s="96">
        <f>SUM(CA15,CA22,CA31,CA51,CA60,CA71,CA76)</f>
        <v>897450.43212121213</v>
      </c>
      <c r="CB78" s="103"/>
      <c r="CC78" s="16"/>
      <c r="CD78" s="81"/>
      <c r="CE78" s="17"/>
      <c r="CF78" s="96">
        <f>SUM(CF15,CF22,CF31,CF51,CF60,CF71,CF76)</f>
        <v>848008.82212121214</v>
      </c>
      <c r="CG78" s="103"/>
      <c r="CH78" s="16"/>
      <c r="CI78" s="81"/>
      <c r="CJ78" s="17"/>
      <c r="CK78" s="96">
        <f>SUM(CK15,CK22,CK31,CK51,CK60,CK71,CK76)</f>
        <v>878668.04712121212</v>
      </c>
      <c r="CL78" s="103"/>
      <c r="CM78" s="16"/>
      <c r="CN78" s="81"/>
      <c r="CO78" s="17"/>
      <c r="CP78" s="96">
        <f>SUM(CP15,CP22,CP31,CP51,CP60,CP71,CP76)</f>
        <v>1000601.8371212122</v>
      </c>
      <c r="CQ78" s="103"/>
      <c r="CR78" s="16"/>
      <c r="CS78" s="81"/>
      <c r="CT78" s="17"/>
      <c r="CU78" s="96">
        <f>SUM(CU15,CU22,CU31,CU51,CU60,CU71,CU76)</f>
        <v>1156950.1871212122</v>
      </c>
      <c r="CV78" s="103"/>
      <c r="CW78" s="16"/>
      <c r="CX78" s="81"/>
      <c r="CY78" s="17"/>
      <c r="CZ78" s="96">
        <f>SUM(CZ15,CZ22,CZ31,CZ51,CZ60,CZ71,CZ76)</f>
        <v>82394.03</v>
      </c>
      <c r="DA78" s="103"/>
      <c r="DB78" s="16"/>
      <c r="DC78" s="81"/>
      <c r="DD78" s="17"/>
      <c r="DE78" s="96">
        <f>SUM(DE15,DE22,DE31,DE51,DE60,DE71,DE76)</f>
        <v>0</v>
      </c>
      <c r="DF78" s="90"/>
      <c r="DG78" s="16"/>
      <c r="DH78" s="81"/>
      <c r="DI78" s="17"/>
      <c r="DJ78" s="96">
        <f>SUM(DJ15,DJ22,DJ31,DJ51,DJ60,DJ71,DJ76)</f>
        <v>0</v>
      </c>
      <c r="DK78" s="90"/>
      <c r="DL78" s="16"/>
      <c r="DM78" s="81"/>
      <c r="DN78" s="17"/>
      <c r="DO78" s="96">
        <f>SUM(DO15,DO22,DO31,DO51,DO60,DO71,DO76)</f>
        <v>0</v>
      </c>
      <c r="DP78" s="90"/>
      <c r="DQ78" s="16"/>
      <c r="DR78" s="81"/>
      <c r="DS78" s="17"/>
      <c r="DT78" s="96">
        <f>SUM(DT15,DT22,DT31,DT51,DT60,DT71,DT76)</f>
        <v>0</v>
      </c>
      <c r="DU78" s="90"/>
      <c r="DV78" s="16"/>
      <c r="DW78" s="81"/>
      <c r="DX78" s="17"/>
      <c r="DY78" s="96">
        <f>SUM(DY15,DY22,DY31,DY51,DY60,DY71,DY76)</f>
        <v>0</v>
      </c>
      <c r="DZ78" s="90"/>
      <c r="EA78" s="16"/>
      <c r="EB78" s="81"/>
      <c r="EC78" s="17"/>
      <c r="ED78" s="96">
        <f>SUM(ED15,ED22,ED31,ED51,ED60,ED71,ED76)</f>
        <v>0</v>
      </c>
      <c r="EE78" s="90"/>
      <c r="EF78" s="16"/>
      <c r="EG78" s="81"/>
      <c r="EH78" s="17"/>
      <c r="EI78" s="96">
        <f>SUM(EI15,EI22,EI31,EI51,EI60,EI71,EI76)</f>
        <v>0</v>
      </c>
      <c r="EJ78" s="90"/>
      <c r="EK78" s="16"/>
      <c r="EL78" s="81"/>
      <c r="EM78" s="17"/>
      <c r="EN78" s="96">
        <f>SUM(EN15,EN22,EN31,EN51,EN60,EN71,EN76)</f>
        <v>0</v>
      </c>
      <c r="EO78" s="90"/>
      <c r="EP78" s="16"/>
      <c r="EQ78" s="81"/>
      <c r="ER78" s="17"/>
      <c r="ES78" s="96">
        <f>SUM(ES15,ES22,ES31,ES51,ES60,ES71,ES76)</f>
        <v>0</v>
      </c>
      <c r="ET78" s="56"/>
      <c r="EU78" s="56"/>
    </row>
    <row r="82" spans="74:99" x14ac:dyDescent="0.25">
      <c r="CF82" s="83">
        <f>+CF78+CA78</f>
        <v>1745459.2542424244</v>
      </c>
      <c r="CI82" s="83">
        <f>CI67+CI66</f>
        <v>79062.462121212127</v>
      </c>
    </row>
    <row r="83" spans="74:99" x14ac:dyDescent="0.25">
      <c r="CF83" s="83">
        <f>+CF82-CF71-CA71-CA76-CF76</f>
        <v>447862.42000000004</v>
      </c>
    </row>
    <row r="85" spans="74:99" x14ac:dyDescent="0.25">
      <c r="BV85" s="107">
        <f>CA85+CF85+CK85+CP85+CU85+CZ85+DE85+DJ85+DO85+DT85+DY85+ED85+EI85+EN85+ES85</f>
        <v>1602706.7249999999</v>
      </c>
      <c r="CA85" s="83">
        <f>+CA78-CA76-CA71</f>
        <v>225247.45999999996</v>
      </c>
      <c r="CF85" s="83">
        <f>+CF78-CF76-CF71</f>
        <v>222614.95999999996</v>
      </c>
      <c r="CK85" s="83">
        <f>+CK78-CK76-CK71</f>
        <v>254418.08499999996</v>
      </c>
      <c r="CP85" s="83">
        <f>+CP78-CP76-CP71</f>
        <v>380596.48499999999</v>
      </c>
      <c r="CU85" s="83">
        <f>+CU78-CU76-CU71</f>
        <v>519829.7350000001</v>
      </c>
    </row>
    <row r="86" spans="74:99" x14ac:dyDescent="0.25">
      <c r="BV86" s="83">
        <f>+BV85/5</f>
        <v>320541.34499999997</v>
      </c>
    </row>
  </sheetData>
  <mergeCells count="87">
    <mergeCell ref="AD1:AF1"/>
    <mergeCell ref="E1:G1"/>
    <mergeCell ref="J1:L1"/>
    <mergeCell ref="O1:Q1"/>
    <mergeCell ref="T1:V1"/>
    <mergeCell ref="Y1:AA1"/>
    <mergeCell ref="DC1:DE1"/>
    <mergeCell ref="BY1:CA1"/>
    <mergeCell ref="BM1:BO1"/>
    <mergeCell ref="BR1:BT1"/>
    <mergeCell ref="AI1:AK1"/>
    <mergeCell ref="AN1:AP1"/>
    <mergeCell ref="AS1:AU1"/>
    <mergeCell ref="AX1:AZ1"/>
    <mergeCell ref="BC1:BE1"/>
    <mergeCell ref="BH1:BJ1"/>
    <mergeCell ref="CD1:CF1"/>
    <mergeCell ref="CI1:CK1"/>
    <mergeCell ref="CN1:CP1"/>
    <mergeCell ref="CS1:CU1"/>
    <mergeCell ref="CX1:CZ1"/>
    <mergeCell ref="EL1:EN1"/>
    <mergeCell ref="EQ1:ES1"/>
    <mergeCell ref="E2:G2"/>
    <mergeCell ref="J2:L2"/>
    <mergeCell ref="O2:Q2"/>
    <mergeCell ref="T2:V2"/>
    <mergeCell ref="Y2:AA2"/>
    <mergeCell ref="AD2:AF2"/>
    <mergeCell ref="AI2:AK2"/>
    <mergeCell ref="AN2:AP2"/>
    <mergeCell ref="DH1:DJ1"/>
    <mergeCell ref="DM1:DO1"/>
    <mergeCell ref="DR1:DT1"/>
    <mergeCell ref="DW1:DY1"/>
    <mergeCell ref="EB1:ED1"/>
    <mergeCell ref="EG1:EI1"/>
    <mergeCell ref="EL2:EN2"/>
    <mergeCell ref="EQ2:ES2"/>
    <mergeCell ref="CN2:CP2"/>
    <mergeCell ref="CS2:CU2"/>
    <mergeCell ref="CX2:CZ2"/>
    <mergeCell ref="DC2:DE2"/>
    <mergeCell ref="DH2:DJ2"/>
    <mergeCell ref="DM2:DO2"/>
    <mergeCell ref="AD3:AF3"/>
    <mergeCell ref="DR2:DT2"/>
    <mergeCell ref="DW2:DY2"/>
    <mergeCell ref="EB2:ED2"/>
    <mergeCell ref="EG2:EI2"/>
    <mergeCell ref="BY2:CA2"/>
    <mergeCell ref="CD2:CF2"/>
    <mergeCell ref="CI2:CK2"/>
    <mergeCell ref="AS2:AU2"/>
    <mergeCell ref="AX2:AZ2"/>
    <mergeCell ref="BC2:BE2"/>
    <mergeCell ref="BH2:BJ2"/>
    <mergeCell ref="BM2:BO2"/>
    <mergeCell ref="BR2:BT2"/>
    <mergeCell ref="DC3:DE3"/>
    <mergeCell ref="BY3:CA3"/>
    <mergeCell ref="E3:G3"/>
    <mergeCell ref="J3:L3"/>
    <mergeCell ref="O3:Q3"/>
    <mergeCell ref="T3:V3"/>
    <mergeCell ref="Y3:AA3"/>
    <mergeCell ref="BM3:BO3"/>
    <mergeCell ref="BR3:BT3"/>
    <mergeCell ref="AI3:AK3"/>
    <mergeCell ref="AN3:AP3"/>
    <mergeCell ref="AS3:AU3"/>
    <mergeCell ref="AX3:AZ3"/>
    <mergeCell ref="BC3:BE3"/>
    <mergeCell ref="BH3:BJ3"/>
    <mergeCell ref="CD3:CF3"/>
    <mergeCell ref="CI3:CK3"/>
    <mergeCell ref="CN3:CP3"/>
    <mergeCell ref="CS3:CU3"/>
    <mergeCell ref="CX3:CZ3"/>
    <mergeCell ref="EL3:EN3"/>
    <mergeCell ref="EQ3:ES3"/>
    <mergeCell ref="DH3:DJ3"/>
    <mergeCell ref="DM3:DO3"/>
    <mergeCell ref="DR3:DT3"/>
    <mergeCell ref="DW3:DY3"/>
    <mergeCell ref="EB3:ED3"/>
    <mergeCell ref="EG3:EI3"/>
  </mergeCells>
  <printOptions horizontalCentered="1"/>
  <pageMargins left="0.7" right="0.7" top="0.75" bottom="0.75" header="0.3" footer="0.3"/>
  <pageSetup scale="80" fitToWidth="0" fitToHeight="0" orientation="portrait" r:id="rId1"/>
  <headerFooter>
    <oddHeader>&amp;L&amp;"-,Bold"Nevada Shared Radio System Replacement Project
Washoe County&amp;R&amp;"-,Bold"EX_6_WAS_SOW
Price Schedule_Rev10</oddHeader>
    <oddFooter>&amp;L&amp;"Arial,Regular"Confidential, Proprietary &amp;&amp;
Competition Sensitive&amp;C&amp;G&amp;R&amp;"Arial,Regular"September 17, 2018
Page &amp;P</oddFooter>
  </headerFooter>
  <rowBreaks count="1" manualBreakCount="1">
    <brk id="31" max="103" man="1"/>
  </rowBreaks>
  <colBreaks count="21" manualBreakCount="21">
    <brk id="2" max="77" man="1"/>
    <brk id="7" max="77" man="1"/>
    <brk id="12" max="77" man="1"/>
    <brk id="17" max="77" man="1"/>
    <brk id="22" max="77" man="1"/>
    <brk id="27" max="77" man="1"/>
    <brk id="32" max="77" man="1"/>
    <brk id="37" max="77" man="1"/>
    <brk id="42" max="77" man="1"/>
    <brk id="47" max="77" man="1"/>
    <brk id="52" max="77" man="1"/>
    <brk id="57" max="77" man="1"/>
    <brk id="62" max="77" man="1"/>
    <brk id="67" max="77" man="1"/>
    <brk id="72" max="77" man="1"/>
    <brk id="74" max="77" man="1"/>
    <brk id="79" max="77" man="1"/>
    <brk id="84" max="77" man="1"/>
    <brk id="89" max="77" man="1"/>
    <brk id="94" max="77" man="1"/>
    <brk id="9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G55"/>
  <sheetViews>
    <sheetView view="pageBreakPreview" zoomScaleNormal="100" zoomScaleSheetLayoutView="100" workbookViewId="0">
      <selection activeCell="E36" sqref="E36"/>
    </sheetView>
  </sheetViews>
  <sheetFormatPr defaultRowHeight="15" x14ac:dyDescent="0.25"/>
  <cols>
    <col min="1" max="1" width="20" customWidth="1"/>
    <col min="2" max="2" width="44.85546875" customWidth="1"/>
    <col min="3" max="3" width="14.42578125" customWidth="1"/>
    <col min="4" max="4" width="5.7109375" style="41" customWidth="1"/>
    <col min="5" max="5" width="16.85546875" bestFit="1" customWidth="1"/>
    <col min="6" max="6" width="10.5703125" style="68" bestFit="1" customWidth="1"/>
    <col min="7" max="7" width="16.85546875" bestFit="1" customWidth="1"/>
  </cols>
  <sheetData>
    <row r="1" spans="1:7" s="1" customFormat="1" ht="18.75" customHeight="1" x14ac:dyDescent="0.2">
      <c r="A1" s="220" t="s">
        <v>154</v>
      </c>
      <c r="B1" s="220"/>
      <c r="C1" s="220"/>
      <c r="D1" s="220"/>
      <c r="E1" s="220"/>
      <c r="F1" s="220"/>
      <c r="G1" s="220"/>
    </row>
    <row r="2" spans="1:7" s="1" customFormat="1" ht="30" customHeight="1" x14ac:dyDescent="0.2">
      <c r="A2" s="250" t="s">
        <v>155</v>
      </c>
      <c r="B2" s="250"/>
      <c r="C2" s="250"/>
      <c r="D2" s="250"/>
      <c r="E2" s="250"/>
      <c r="F2" s="250"/>
      <c r="G2" s="250"/>
    </row>
    <row r="3" spans="1:7" s="79" customFormat="1" ht="30" customHeight="1" x14ac:dyDescent="0.25">
      <c r="A3" s="251" t="s">
        <v>156</v>
      </c>
      <c r="B3" s="251"/>
      <c r="C3" s="251"/>
      <c r="D3" s="251"/>
      <c r="E3" s="251"/>
      <c r="F3" s="251"/>
      <c r="G3" s="251"/>
    </row>
    <row r="4" spans="1:7" s="1" customFormat="1" ht="24" customHeight="1" x14ac:dyDescent="0.25">
      <c r="A4" s="72" t="s">
        <v>157</v>
      </c>
      <c r="B4" s="72" t="s">
        <v>158</v>
      </c>
      <c r="C4" s="72" t="s">
        <v>94</v>
      </c>
      <c r="D4" s="73" t="s">
        <v>95</v>
      </c>
      <c r="E4" s="72" t="s">
        <v>96</v>
      </c>
      <c r="F4" s="74" t="s">
        <v>97</v>
      </c>
      <c r="G4" s="72" t="s">
        <v>4</v>
      </c>
    </row>
    <row r="5" spans="1:7" x14ac:dyDescent="0.25">
      <c r="A5" s="168" t="s">
        <v>159</v>
      </c>
      <c r="B5" s="78" t="s">
        <v>160</v>
      </c>
      <c r="C5" s="169">
        <v>40540</v>
      </c>
      <c r="D5" s="170">
        <v>4</v>
      </c>
      <c r="E5" s="169">
        <f>SUM(C5*D5)</f>
        <v>162160</v>
      </c>
      <c r="F5" s="171">
        <v>0.26</v>
      </c>
      <c r="G5" s="169">
        <f>E5-E5*F5</f>
        <v>119998.39999999999</v>
      </c>
    </row>
    <row r="6" spans="1:7" x14ac:dyDescent="0.25">
      <c r="A6" s="168" t="s">
        <v>161</v>
      </c>
      <c r="B6" s="78" t="s">
        <v>162</v>
      </c>
      <c r="C6" s="169">
        <v>40540</v>
      </c>
      <c r="D6" s="170">
        <v>4</v>
      </c>
      <c r="E6" s="169">
        <f>SUM(C6*D6)</f>
        <v>162160</v>
      </c>
      <c r="F6" s="171">
        <v>0.26</v>
      </c>
      <c r="G6" s="169">
        <f>E6-E6*F6</f>
        <v>119998.39999999999</v>
      </c>
    </row>
    <row r="7" spans="1:7" x14ac:dyDescent="0.25">
      <c r="A7" s="168" t="s">
        <v>163</v>
      </c>
      <c r="B7" s="78" t="s">
        <v>164</v>
      </c>
      <c r="C7" s="169">
        <v>48275</v>
      </c>
      <c r="D7" s="170">
        <v>2</v>
      </c>
      <c r="E7" s="169">
        <f>SUM(C7*D7)</f>
        <v>96550</v>
      </c>
      <c r="F7" s="171">
        <v>0.26</v>
      </c>
      <c r="G7" s="169">
        <f>E7-E7*F7</f>
        <v>71447</v>
      </c>
    </row>
    <row r="8" spans="1:7" x14ac:dyDescent="0.25">
      <c r="A8" s="168" t="s">
        <v>165</v>
      </c>
      <c r="B8" s="78" t="s">
        <v>166</v>
      </c>
      <c r="C8" s="169">
        <v>21000</v>
      </c>
      <c r="D8" s="170">
        <v>3</v>
      </c>
      <c r="E8" s="169">
        <f>SUM(C8*D8)</f>
        <v>63000</v>
      </c>
      <c r="F8" s="171">
        <v>0.26</v>
      </c>
      <c r="G8" s="169">
        <f>E8-E8*F8</f>
        <v>46620</v>
      </c>
    </row>
    <row r="9" spans="1:7" x14ac:dyDescent="0.25">
      <c r="A9" s="168" t="s">
        <v>167</v>
      </c>
      <c r="B9" s="78" t="s">
        <v>168</v>
      </c>
      <c r="C9" s="169">
        <v>1993</v>
      </c>
      <c r="D9" s="170">
        <v>4</v>
      </c>
      <c r="E9" s="169">
        <f t="shared" ref="E9:E32" si="0">SUM(C9*D9)</f>
        <v>7972</v>
      </c>
      <c r="F9" s="171">
        <v>0.26</v>
      </c>
      <c r="G9" s="169">
        <f t="shared" ref="G9:G32" si="1">E9-E9*F9</f>
        <v>5899.28</v>
      </c>
    </row>
    <row r="10" spans="1:7" x14ac:dyDescent="0.25">
      <c r="A10" s="168" t="s">
        <v>169</v>
      </c>
      <c r="B10" s="78" t="s">
        <v>170</v>
      </c>
      <c r="C10" s="169">
        <v>8000</v>
      </c>
      <c r="D10" s="170">
        <v>4</v>
      </c>
      <c r="E10" s="169">
        <f t="shared" si="0"/>
        <v>32000</v>
      </c>
      <c r="F10" s="171">
        <v>0.26</v>
      </c>
      <c r="G10" s="169">
        <f t="shared" si="1"/>
        <v>23680</v>
      </c>
    </row>
    <row r="11" spans="1:7" x14ac:dyDescent="0.25">
      <c r="A11" s="168"/>
      <c r="B11" s="183" t="s">
        <v>171</v>
      </c>
      <c r="C11" s="169"/>
      <c r="D11" s="170"/>
      <c r="E11" s="169"/>
      <c r="F11" s="171"/>
      <c r="G11" s="169"/>
    </row>
    <row r="12" spans="1:7" x14ac:dyDescent="0.25">
      <c r="A12" s="168" t="s">
        <v>172</v>
      </c>
      <c r="B12" s="78" t="s">
        <v>173</v>
      </c>
      <c r="C12" s="169">
        <v>144</v>
      </c>
      <c r="D12" s="170">
        <v>2</v>
      </c>
      <c r="E12" s="169">
        <f t="shared" si="0"/>
        <v>288</v>
      </c>
      <c r="F12" s="171">
        <v>0.1</v>
      </c>
      <c r="G12" s="169">
        <f t="shared" si="1"/>
        <v>259.2</v>
      </c>
    </row>
    <row r="13" spans="1:7" ht="30" x14ac:dyDescent="0.25">
      <c r="A13" s="168" t="s">
        <v>174</v>
      </c>
      <c r="B13" s="78" t="s">
        <v>175</v>
      </c>
      <c r="C13" s="169">
        <v>1231.25</v>
      </c>
      <c r="D13" s="170">
        <v>1</v>
      </c>
      <c r="E13" s="169">
        <f t="shared" si="0"/>
        <v>1231.25</v>
      </c>
      <c r="F13" s="171">
        <v>0</v>
      </c>
      <c r="G13" s="169">
        <f t="shared" si="1"/>
        <v>1231.25</v>
      </c>
    </row>
    <row r="14" spans="1:7" ht="30" x14ac:dyDescent="0.25">
      <c r="A14" s="168" t="s">
        <v>176</v>
      </c>
      <c r="B14" s="78" t="s">
        <v>177</v>
      </c>
      <c r="C14" s="169">
        <v>1487.5</v>
      </c>
      <c r="D14" s="170">
        <v>1</v>
      </c>
      <c r="E14" s="169">
        <f t="shared" si="0"/>
        <v>1487.5</v>
      </c>
      <c r="F14" s="171">
        <v>0</v>
      </c>
      <c r="G14" s="169">
        <f t="shared" si="1"/>
        <v>1487.5</v>
      </c>
    </row>
    <row r="15" spans="1:7" ht="30" x14ac:dyDescent="0.25">
      <c r="A15" s="168" t="s">
        <v>178</v>
      </c>
      <c r="B15" s="78" t="s">
        <v>179</v>
      </c>
      <c r="C15" s="169">
        <v>2110</v>
      </c>
      <c r="D15" s="170">
        <v>1</v>
      </c>
      <c r="E15" s="169">
        <f t="shared" si="0"/>
        <v>2110</v>
      </c>
      <c r="F15" s="171">
        <v>0</v>
      </c>
      <c r="G15" s="169">
        <f t="shared" si="1"/>
        <v>2110</v>
      </c>
    </row>
    <row r="16" spans="1:7" ht="30" x14ac:dyDescent="0.25">
      <c r="A16" s="168" t="s">
        <v>180</v>
      </c>
      <c r="B16" s="78" t="s">
        <v>181</v>
      </c>
      <c r="C16" s="169">
        <v>1231.25</v>
      </c>
      <c r="D16" s="170">
        <v>1</v>
      </c>
      <c r="E16" s="169">
        <f t="shared" si="0"/>
        <v>1231.25</v>
      </c>
      <c r="F16" s="171">
        <v>0</v>
      </c>
      <c r="G16" s="169">
        <f t="shared" si="1"/>
        <v>1231.25</v>
      </c>
    </row>
    <row r="17" spans="1:7" ht="30" x14ac:dyDescent="0.25">
      <c r="A17" s="168" t="s">
        <v>182</v>
      </c>
      <c r="B17" s="78" t="s">
        <v>183</v>
      </c>
      <c r="C17" s="169">
        <v>2141.25</v>
      </c>
      <c r="D17" s="170">
        <v>1</v>
      </c>
      <c r="E17" s="169">
        <f t="shared" si="0"/>
        <v>2141.25</v>
      </c>
      <c r="F17" s="171">
        <v>0</v>
      </c>
      <c r="G17" s="169">
        <f t="shared" si="1"/>
        <v>2141.25</v>
      </c>
    </row>
    <row r="18" spans="1:7" ht="30" x14ac:dyDescent="0.25">
      <c r="A18" s="187" t="s">
        <v>184</v>
      </c>
      <c r="B18" s="188" t="s">
        <v>185</v>
      </c>
      <c r="C18" s="169">
        <v>2695</v>
      </c>
      <c r="D18" s="170">
        <v>1</v>
      </c>
      <c r="E18" s="169">
        <f t="shared" si="0"/>
        <v>2695</v>
      </c>
      <c r="F18" s="171">
        <v>0</v>
      </c>
      <c r="G18" s="169">
        <f t="shared" si="1"/>
        <v>2695</v>
      </c>
    </row>
    <row r="19" spans="1:7" ht="30" x14ac:dyDescent="0.25">
      <c r="A19" s="187" t="s">
        <v>186</v>
      </c>
      <c r="B19" s="188" t="s">
        <v>187</v>
      </c>
      <c r="C19" s="169">
        <v>2365</v>
      </c>
      <c r="D19" s="170">
        <v>1</v>
      </c>
      <c r="E19" s="169">
        <f t="shared" si="0"/>
        <v>2365</v>
      </c>
      <c r="F19" s="171">
        <v>0</v>
      </c>
      <c r="G19" s="169">
        <f t="shared" si="1"/>
        <v>2365</v>
      </c>
    </row>
    <row r="20" spans="1:7" ht="30" x14ac:dyDescent="0.25">
      <c r="A20" s="187" t="s">
        <v>188</v>
      </c>
      <c r="B20" s="188" t="s">
        <v>189</v>
      </c>
      <c r="C20" s="169">
        <v>3860.31</v>
      </c>
      <c r="D20" s="170">
        <v>1</v>
      </c>
      <c r="E20" s="169">
        <f t="shared" si="0"/>
        <v>3860.31</v>
      </c>
      <c r="F20" s="171">
        <v>0</v>
      </c>
      <c r="G20" s="169">
        <f t="shared" si="1"/>
        <v>3860.31</v>
      </c>
    </row>
    <row r="21" spans="1:7" x14ac:dyDescent="0.25">
      <c r="A21" s="168" t="s">
        <v>190</v>
      </c>
      <c r="B21" s="78" t="s">
        <v>191</v>
      </c>
      <c r="C21" s="169">
        <v>3674.69</v>
      </c>
      <c r="D21" s="170">
        <v>1</v>
      </c>
      <c r="E21" s="169">
        <f t="shared" si="0"/>
        <v>3674.69</v>
      </c>
      <c r="F21" s="171">
        <v>0</v>
      </c>
      <c r="G21" s="169">
        <f t="shared" si="1"/>
        <v>3674.69</v>
      </c>
    </row>
    <row r="22" spans="1:7" ht="30" customHeight="1" x14ac:dyDescent="0.25">
      <c r="A22" s="168" t="s">
        <v>192</v>
      </c>
      <c r="B22" s="78" t="s">
        <v>193</v>
      </c>
      <c r="C22" s="169">
        <v>10875</v>
      </c>
      <c r="D22" s="170">
        <v>1</v>
      </c>
      <c r="E22" s="169">
        <f t="shared" si="0"/>
        <v>10875</v>
      </c>
      <c r="F22" s="171">
        <v>0</v>
      </c>
      <c r="G22" s="169">
        <f t="shared" si="1"/>
        <v>10875</v>
      </c>
    </row>
    <row r="23" spans="1:7" ht="30" customHeight="1" x14ac:dyDescent="0.25">
      <c r="A23" s="168" t="s">
        <v>194</v>
      </c>
      <c r="B23" s="78" t="s">
        <v>195</v>
      </c>
      <c r="C23" s="169">
        <v>10875</v>
      </c>
      <c r="D23" s="170">
        <v>1</v>
      </c>
      <c r="E23" s="169">
        <f t="shared" si="0"/>
        <v>10875</v>
      </c>
      <c r="F23" s="171">
        <v>0</v>
      </c>
      <c r="G23" s="169">
        <f t="shared" si="1"/>
        <v>10875</v>
      </c>
    </row>
    <row r="24" spans="1:7" x14ac:dyDescent="0.25">
      <c r="A24" s="168" t="s">
        <v>196</v>
      </c>
      <c r="B24" s="78" t="s">
        <v>197</v>
      </c>
      <c r="C24" s="169">
        <v>1898.75</v>
      </c>
      <c r="D24" s="170">
        <v>1</v>
      </c>
      <c r="E24" s="169">
        <f t="shared" si="0"/>
        <v>1898.75</v>
      </c>
      <c r="F24" s="171">
        <v>0</v>
      </c>
      <c r="G24" s="169">
        <f t="shared" si="1"/>
        <v>1898.75</v>
      </c>
    </row>
    <row r="25" spans="1:7" x14ac:dyDescent="0.25">
      <c r="A25" s="168" t="s">
        <v>198</v>
      </c>
      <c r="B25" s="78" t="s">
        <v>199</v>
      </c>
      <c r="C25" s="169">
        <v>2322.5</v>
      </c>
      <c r="D25" s="170">
        <v>1</v>
      </c>
      <c r="E25" s="169">
        <f t="shared" si="0"/>
        <v>2322.5</v>
      </c>
      <c r="F25" s="171">
        <v>0</v>
      </c>
      <c r="G25" s="169">
        <f t="shared" si="1"/>
        <v>2322.5</v>
      </c>
    </row>
    <row r="26" spans="1:7" ht="30" x14ac:dyDescent="0.25">
      <c r="A26" s="187" t="s">
        <v>200</v>
      </c>
      <c r="B26" s="188" t="s">
        <v>201</v>
      </c>
      <c r="C26" s="169">
        <v>2885</v>
      </c>
      <c r="D26" s="170">
        <v>1</v>
      </c>
      <c r="E26" s="169">
        <f t="shared" si="0"/>
        <v>2885</v>
      </c>
      <c r="F26" s="171">
        <v>0</v>
      </c>
      <c r="G26" s="169">
        <f t="shared" si="1"/>
        <v>2885</v>
      </c>
    </row>
    <row r="27" spans="1:7" x14ac:dyDescent="0.25">
      <c r="A27" s="168" t="s">
        <v>202</v>
      </c>
      <c r="B27" s="78" t="s">
        <v>123</v>
      </c>
      <c r="C27" s="169">
        <v>1871.25</v>
      </c>
      <c r="D27" s="170">
        <v>1</v>
      </c>
      <c r="E27" s="169">
        <f t="shared" si="0"/>
        <v>1871.25</v>
      </c>
      <c r="F27" s="171">
        <v>0</v>
      </c>
      <c r="G27" s="169">
        <f t="shared" si="1"/>
        <v>1871.25</v>
      </c>
    </row>
    <row r="28" spans="1:7" x14ac:dyDescent="0.25">
      <c r="A28" t="s">
        <v>203</v>
      </c>
      <c r="B28" s="78" t="s">
        <v>204</v>
      </c>
      <c r="C28" s="169">
        <v>75768.5</v>
      </c>
      <c r="D28" s="170">
        <v>2</v>
      </c>
      <c r="E28" s="169">
        <f t="shared" ref="E28" si="2">SUM(C28*D28)</f>
        <v>151537</v>
      </c>
      <c r="F28" s="171">
        <v>0.26</v>
      </c>
      <c r="G28" s="169">
        <f t="shared" ref="G28" si="3">E28-E28*F28</f>
        <v>112137.38</v>
      </c>
    </row>
    <row r="29" spans="1:7" x14ac:dyDescent="0.25">
      <c r="A29" s="168"/>
      <c r="B29" s="183" t="s">
        <v>205</v>
      </c>
      <c r="C29" s="169"/>
      <c r="D29" s="170"/>
      <c r="E29" s="169"/>
      <c r="F29" s="171"/>
      <c r="G29" s="169"/>
    </row>
    <row r="30" spans="1:7" x14ac:dyDescent="0.25">
      <c r="A30" s="168" t="s">
        <v>206</v>
      </c>
      <c r="B30" s="78" t="s">
        <v>207</v>
      </c>
      <c r="C30" s="169">
        <v>34000</v>
      </c>
      <c r="D30" s="170">
        <v>1</v>
      </c>
      <c r="E30" s="169">
        <f t="shared" si="0"/>
        <v>34000</v>
      </c>
      <c r="F30" s="171">
        <v>0.26</v>
      </c>
      <c r="G30" s="169">
        <f t="shared" si="1"/>
        <v>25160</v>
      </c>
    </row>
    <row r="31" spans="1:7" x14ac:dyDescent="0.25">
      <c r="A31" s="168" t="s">
        <v>208</v>
      </c>
      <c r="B31" s="78" t="s">
        <v>209</v>
      </c>
      <c r="C31" s="169">
        <v>19500</v>
      </c>
      <c r="D31" s="170">
        <v>2</v>
      </c>
      <c r="E31" s="169">
        <f t="shared" si="0"/>
        <v>39000</v>
      </c>
      <c r="F31" s="171">
        <v>0.26</v>
      </c>
      <c r="G31" s="169">
        <f t="shared" si="1"/>
        <v>28860</v>
      </c>
    </row>
    <row r="32" spans="1:7" x14ac:dyDescent="0.25">
      <c r="A32" s="168" t="s">
        <v>210</v>
      </c>
      <c r="B32" s="78" t="s">
        <v>211</v>
      </c>
      <c r="C32" s="169">
        <v>5729</v>
      </c>
      <c r="D32" s="170">
        <v>3</v>
      </c>
      <c r="E32" s="169">
        <f t="shared" si="0"/>
        <v>17187</v>
      </c>
      <c r="F32" s="171">
        <v>0.26</v>
      </c>
      <c r="G32" s="169">
        <f t="shared" si="1"/>
        <v>12718.380000000001</v>
      </c>
    </row>
    <row r="33" spans="1:7" x14ac:dyDescent="0.25">
      <c r="A33" s="168"/>
      <c r="B33" s="183" t="s">
        <v>212</v>
      </c>
      <c r="C33" s="169"/>
      <c r="D33" s="170"/>
      <c r="E33" s="169"/>
      <c r="F33" s="171"/>
      <c r="G33" s="169"/>
    </row>
    <row r="34" spans="1:7" x14ac:dyDescent="0.25">
      <c r="A34" s="168" t="s">
        <v>213</v>
      </c>
      <c r="B34" s="78" t="s">
        <v>214</v>
      </c>
      <c r="C34" s="169">
        <v>5950</v>
      </c>
      <c r="D34" s="170">
        <v>1</v>
      </c>
      <c r="E34" s="169">
        <f t="shared" ref="E34:E36" si="4">SUM(C34*D34)</f>
        <v>5950</v>
      </c>
      <c r="F34" s="171">
        <v>0.26</v>
      </c>
      <c r="G34" s="169">
        <f t="shared" ref="G34:G36" si="5">E34-E34*F34</f>
        <v>4403</v>
      </c>
    </row>
    <row r="35" spans="1:7" x14ac:dyDescent="0.25">
      <c r="A35" s="168" t="s">
        <v>215</v>
      </c>
      <c r="B35" s="78" t="s">
        <v>216</v>
      </c>
      <c r="C35" s="169">
        <v>54950</v>
      </c>
      <c r="D35" s="170">
        <v>1</v>
      </c>
      <c r="E35" s="169">
        <f t="shared" si="4"/>
        <v>54950</v>
      </c>
      <c r="F35" s="171">
        <v>0.26</v>
      </c>
      <c r="G35" s="169">
        <f t="shared" si="5"/>
        <v>40663</v>
      </c>
    </row>
    <row r="36" spans="1:7" x14ac:dyDescent="0.25">
      <c r="A36" s="168" t="s">
        <v>217</v>
      </c>
      <c r="B36" s="78" t="s">
        <v>218</v>
      </c>
      <c r="C36" s="169">
        <v>13745</v>
      </c>
      <c r="D36" s="170">
        <v>1</v>
      </c>
      <c r="E36" s="169">
        <f t="shared" si="4"/>
        <v>13745</v>
      </c>
      <c r="F36" s="171">
        <v>0.26</v>
      </c>
      <c r="G36" s="169">
        <f t="shared" si="5"/>
        <v>10171.299999999999</v>
      </c>
    </row>
    <row r="37" spans="1:7" x14ac:dyDescent="0.25">
      <c r="A37" s="168"/>
      <c r="B37" s="183" t="s">
        <v>219</v>
      </c>
      <c r="C37" s="169"/>
      <c r="D37" s="170"/>
      <c r="E37" s="169"/>
      <c r="F37" s="171"/>
      <c r="G37" s="169"/>
    </row>
    <row r="38" spans="1:7" x14ac:dyDescent="0.25">
      <c r="A38" s="168" t="s">
        <v>220</v>
      </c>
      <c r="B38" s="78" t="s">
        <v>221</v>
      </c>
      <c r="C38" s="169">
        <v>4061.51</v>
      </c>
      <c r="D38" s="170">
        <v>1</v>
      </c>
      <c r="E38" s="169">
        <f t="shared" ref="E38:E52" si="6">SUM(C38*D38)</f>
        <v>4061.51</v>
      </c>
      <c r="F38" s="171">
        <v>0.26</v>
      </c>
      <c r="G38" s="169">
        <f t="shared" ref="G38:G52" si="7">E38-E38*F38</f>
        <v>3005.5174000000002</v>
      </c>
    </row>
    <row r="39" spans="1:7" x14ac:dyDescent="0.25">
      <c r="A39" s="168" t="s">
        <v>222</v>
      </c>
      <c r="B39" s="78" t="s">
        <v>223</v>
      </c>
      <c r="C39" s="169">
        <v>7091.22</v>
      </c>
      <c r="D39" s="170">
        <v>1</v>
      </c>
      <c r="E39" s="169">
        <f t="shared" si="6"/>
        <v>7091.22</v>
      </c>
      <c r="F39" s="171">
        <v>0.26</v>
      </c>
      <c r="G39" s="169">
        <f t="shared" si="7"/>
        <v>5247.5028000000002</v>
      </c>
    </row>
    <row r="40" spans="1:7" x14ac:dyDescent="0.25">
      <c r="A40" s="168" t="s">
        <v>224</v>
      </c>
      <c r="B40" s="78" t="s">
        <v>225</v>
      </c>
      <c r="C40" s="169">
        <v>2256.4899999999998</v>
      </c>
      <c r="D40" s="170">
        <v>1</v>
      </c>
      <c r="E40" s="169">
        <f t="shared" si="6"/>
        <v>2256.4899999999998</v>
      </c>
      <c r="F40" s="171">
        <v>0.26</v>
      </c>
      <c r="G40" s="169">
        <f t="shared" si="7"/>
        <v>1669.8026</v>
      </c>
    </row>
    <row r="41" spans="1:7" x14ac:dyDescent="0.25">
      <c r="A41" s="168" t="s">
        <v>226</v>
      </c>
      <c r="B41" s="78" t="s">
        <v>227</v>
      </c>
      <c r="C41" s="169">
        <v>2100</v>
      </c>
      <c r="D41" s="170">
        <v>1</v>
      </c>
      <c r="E41" s="169">
        <f t="shared" si="6"/>
        <v>2100</v>
      </c>
      <c r="F41" s="171">
        <v>0.26</v>
      </c>
      <c r="G41" s="169">
        <f t="shared" si="7"/>
        <v>1554</v>
      </c>
    </row>
    <row r="42" spans="1:7" x14ac:dyDescent="0.25">
      <c r="A42" s="168" t="s">
        <v>228</v>
      </c>
      <c r="B42" s="78" t="s">
        <v>229</v>
      </c>
      <c r="C42" s="169">
        <v>5324.28</v>
      </c>
      <c r="D42" s="170">
        <v>1</v>
      </c>
      <c r="E42" s="169">
        <f t="shared" si="6"/>
        <v>5324.28</v>
      </c>
      <c r="F42" s="171">
        <v>0.26</v>
      </c>
      <c r="G42" s="169">
        <f t="shared" si="7"/>
        <v>3939.9672</v>
      </c>
    </row>
    <row r="43" spans="1:7" x14ac:dyDescent="0.25">
      <c r="A43" s="168" t="s">
        <v>230</v>
      </c>
      <c r="B43" s="78" t="s">
        <v>231</v>
      </c>
      <c r="C43" s="169">
        <v>425</v>
      </c>
      <c r="D43" s="170">
        <v>1</v>
      </c>
      <c r="E43" s="169">
        <f t="shared" si="6"/>
        <v>425</v>
      </c>
      <c r="F43" s="171">
        <v>0.26</v>
      </c>
      <c r="G43" s="169">
        <f t="shared" si="7"/>
        <v>314.5</v>
      </c>
    </row>
    <row r="44" spans="1:7" x14ac:dyDescent="0.25">
      <c r="A44" s="168" t="s">
        <v>232</v>
      </c>
      <c r="B44" s="78" t="s">
        <v>233</v>
      </c>
      <c r="C44" s="169">
        <v>2900</v>
      </c>
      <c r="D44" s="170">
        <v>1</v>
      </c>
      <c r="E44" s="169">
        <f t="shared" si="6"/>
        <v>2900</v>
      </c>
      <c r="F44" s="171">
        <v>0.26</v>
      </c>
      <c r="G44" s="169">
        <f t="shared" si="7"/>
        <v>2146</v>
      </c>
    </row>
    <row r="45" spans="1:7" x14ac:dyDescent="0.25">
      <c r="A45" s="168" t="s">
        <v>234</v>
      </c>
      <c r="B45" s="78" t="s">
        <v>235</v>
      </c>
      <c r="C45" s="169">
        <v>1454.57</v>
      </c>
      <c r="D45" s="170">
        <v>1</v>
      </c>
      <c r="E45" s="169">
        <f t="shared" si="6"/>
        <v>1454.57</v>
      </c>
      <c r="F45" s="171">
        <v>0.26</v>
      </c>
      <c r="G45" s="169">
        <f t="shared" si="7"/>
        <v>1076.3817999999999</v>
      </c>
    </row>
    <row r="46" spans="1:7" x14ac:dyDescent="0.25">
      <c r="A46" s="168" t="s">
        <v>236</v>
      </c>
      <c r="B46" s="78" t="s">
        <v>237</v>
      </c>
      <c r="C46" s="169">
        <v>69.88</v>
      </c>
      <c r="D46" s="170">
        <v>1</v>
      </c>
      <c r="E46" s="169">
        <f t="shared" si="6"/>
        <v>69.88</v>
      </c>
      <c r="F46" s="171">
        <v>0.26</v>
      </c>
      <c r="G46" s="169">
        <f t="shared" si="7"/>
        <v>51.711199999999991</v>
      </c>
    </row>
    <row r="47" spans="1:7" x14ac:dyDescent="0.25">
      <c r="A47" s="168" t="s">
        <v>238</v>
      </c>
      <c r="B47" s="78" t="s">
        <v>239</v>
      </c>
      <c r="C47" s="169">
        <v>1700</v>
      </c>
      <c r="D47" s="170">
        <v>1</v>
      </c>
      <c r="E47" s="169">
        <f t="shared" si="6"/>
        <v>1700</v>
      </c>
      <c r="F47" s="171">
        <v>0.26</v>
      </c>
      <c r="G47" s="169">
        <f t="shared" si="7"/>
        <v>1258</v>
      </c>
    </row>
    <row r="48" spans="1:7" x14ac:dyDescent="0.25">
      <c r="A48" s="168" t="s">
        <v>240</v>
      </c>
      <c r="B48" s="78" t="s">
        <v>241</v>
      </c>
      <c r="C48" s="169">
        <v>567</v>
      </c>
      <c r="D48" s="170">
        <v>1</v>
      </c>
      <c r="E48" s="169">
        <f t="shared" si="6"/>
        <v>567</v>
      </c>
      <c r="F48" s="171">
        <v>0.26</v>
      </c>
      <c r="G48" s="169">
        <f t="shared" si="7"/>
        <v>419.58</v>
      </c>
    </row>
    <row r="49" spans="1:7" x14ac:dyDescent="0.25">
      <c r="A49" s="168" t="s">
        <v>242</v>
      </c>
      <c r="B49" s="78" t="s">
        <v>243</v>
      </c>
      <c r="C49" s="169">
        <v>5312.63</v>
      </c>
      <c r="D49" s="170">
        <v>1</v>
      </c>
      <c r="E49" s="169">
        <f t="shared" si="6"/>
        <v>5312.63</v>
      </c>
      <c r="F49" s="171">
        <v>0.26</v>
      </c>
      <c r="G49" s="169">
        <f t="shared" si="7"/>
        <v>3931.3462</v>
      </c>
    </row>
    <row r="50" spans="1:7" x14ac:dyDescent="0.25">
      <c r="A50" s="168" t="s">
        <v>244</v>
      </c>
      <c r="B50" s="78" t="s">
        <v>245</v>
      </c>
      <c r="C50" s="169">
        <v>346.83</v>
      </c>
      <c r="D50" s="170">
        <v>2</v>
      </c>
      <c r="E50" s="169">
        <f t="shared" si="6"/>
        <v>693.66</v>
      </c>
      <c r="F50" s="171">
        <v>0.26</v>
      </c>
      <c r="G50" s="169">
        <f t="shared" si="7"/>
        <v>513.30840000000001</v>
      </c>
    </row>
    <row r="51" spans="1:7" x14ac:dyDescent="0.25">
      <c r="A51" s="168" t="s">
        <v>246</v>
      </c>
      <c r="B51" s="78" t="s">
        <v>247</v>
      </c>
      <c r="C51" s="169">
        <v>3116</v>
      </c>
      <c r="D51" s="170">
        <v>1</v>
      </c>
      <c r="E51" s="169">
        <f t="shared" si="6"/>
        <v>3116</v>
      </c>
      <c r="F51" s="171">
        <v>0.26</v>
      </c>
      <c r="G51" s="169">
        <f t="shared" si="7"/>
        <v>2305.84</v>
      </c>
    </row>
    <row r="52" spans="1:7" x14ac:dyDescent="0.25">
      <c r="A52" s="168" t="s">
        <v>248</v>
      </c>
      <c r="B52" s="78" t="s">
        <v>249</v>
      </c>
      <c r="C52" s="169">
        <v>429.63</v>
      </c>
      <c r="D52" s="170">
        <v>1</v>
      </c>
      <c r="E52" s="169">
        <f t="shared" si="6"/>
        <v>429.63</v>
      </c>
      <c r="F52" s="171">
        <v>0.26</v>
      </c>
      <c r="G52" s="169">
        <f t="shared" si="7"/>
        <v>317.92619999999999</v>
      </c>
    </row>
    <row r="53" spans="1:7" s="49" customFormat="1" ht="31.5" x14ac:dyDescent="0.25">
      <c r="A53" s="105"/>
      <c r="B53" s="214" t="s">
        <v>250</v>
      </c>
      <c r="C53" s="71"/>
      <c r="D53" s="71"/>
      <c r="E53" s="70">
        <f>SUM(E5:E52)</f>
        <v>929524.62</v>
      </c>
      <c r="F53" s="71"/>
      <c r="G53" s="70">
        <f>SUM(G5:G52)</f>
        <v>701290.47380000004</v>
      </c>
    </row>
    <row r="54" spans="1:7" s="1" customFormat="1" ht="12.75" x14ac:dyDescent="0.2">
      <c r="D54" s="14"/>
      <c r="F54" s="67"/>
    </row>
    <row r="55" spans="1:7" s="1" customFormat="1" ht="12.75" x14ac:dyDescent="0.2">
      <c r="D55" s="14"/>
      <c r="F55" s="67"/>
    </row>
  </sheetData>
  <mergeCells count="3">
    <mergeCell ref="A1:G1"/>
    <mergeCell ref="A2:G2"/>
    <mergeCell ref="A3:G3"/>
  </mergeCells>
  <printOptions horizontalCentered="1"/>
  <pageMargins left="0.7" right="0.7" top="0.75" bottom="0.75" header="0.3" footer="0.3"/>
  <pageSetup scale="70" orientation="portrait" r:id="rId1"/>
  <headerFooter>
    <oddHeader>&amp;L&amp;"-,Bold"Nevada Shared Radio System Replacement Project
Washoe County&amp;R&amp;"-,Bold"EX_6_WAS_SOW
Price Schedule_Rev10</oddHeader>
    <oddFooter>&amp;L&amp;"Arial,Regular"Confidential, Proprietary &amp;&amp;
Competition Sensitive&amp;C&amp;G&amp;R&amp;"Arial,Regular"September 17, 2018
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E54"/>
  <sheetViews>
    <sheetView view="pageBreakPreview" zoomScaleNormal="100" zoomScaleSheetLayoutView="100" workbookViewId="0">
      <selection activeCell="E30" sqref="E30"/>
    </sheetView>
  </sheetViews>
  <sheetFormatPr defaultColWidth="9.140625" defaultRowHeight="12.75" x14ac:dyDescent="0.2"/>
  <cols>
    <col min="1" max="1" width="70.5703125" style="1" customWidth="1"/>
    <col min="2" max="2" width="14.42578125" style="1" customWidth="1"/>
    <col min="3" max="3" width="3.7109375" style="1" customWidth="1"/>
    <col min="4" max="4" width="72.7109375" style="1" customWidth="1"/>
    <col min="5" max="5" width="14.42578125" style="1" customWidth="1"/>
    <col min="6" max="16384" width="9.140625" style="1"/>
  </cols>
  <sheetData>
    <row r="1" spans="1:5" ht="21" x14ac:dyDescent="0.35">
      <c r="A1" s="252" t="s">
        <v>251</v>
      </c>
      <c r="B1" s="253"/>
      <c r="D1" s="254" t="s">
        <v>252</v>
      </c>
      <c r="E1" s="255"/>
    </row>
    <row r="2" spans="1:5" s="34" customFormat="1" x14ac:dyDescent="0.2">
      <c r="A2" s="36" t="s">
        <v>253</v>
      </c>
      <c r="B2" s="37" t="s">
        <v>254</v>
      </c>
      <c r="D2" s="162" t="s">
        <v>253</v>
      </c>
      <c r="E2" s="163" t="s">
        <v>254</v>
      </c>
    </row>
    <row r="3" spans="1:5" ht="18.75" x14ac:dyDescent="0.2">
      <c r="A3" s="48" t="s">
        <v>255</v>
      </c>
      <c r="B3" s="12"/>
      <c r="D3" s="48" t="s">
        <v>255</v>
      </c>
      <c r="E3" s="12"/>
    </row>
    <row r="4" spans="1:5" x14ac:dyDescent="0.2">
      <c r="A4" s="6" t="s">
        <v>256</v>
      </c>
      <c r="B4" s="35">
        <v>41897</v>
      </c>
      <c r="D4" s="6" t="s">
        <v>256</v>
      </c>
      <c r="E4" s="35">
        <f>62533-B4</f>
        <v>20636</v>
      </c>
    </row>
    <row r="5" spans="1:5" x14ac:dyDescent="0.2">
      <c r="A5" s="6" t="s">
        <v>257</v>
      </c>
      <c r="B5" s="35">
        <f>16065*0.67</f>
        <v>10763.550000000001</v>
      </c>
      <c r="D5" s="6" t="s">
        <v>257</v>
      </c>
      <c r="E5" s="35">
        <f>16065-B5</f>
        <v>5301.4499999999989</v>
      </c>
    </row>
    <row r="6" spans="1:5" x14ac:dyDescent="0.2">
      <c r="A6" s="30" t="s">
        <v>258</v>
      </c>
      <c r="B6" s="35">
        <f>239274.5+320375</f>
        <v>559649.5</v>
      </c>
      <c r="D6" s="30" t="s">
        <v>259</v>
      </c>
      <c r="E6" s="35">
        <f>117852+160187.5+7500</f>
        <v>285539.5</v>
      </c>
    </row>
    <row r="7" spans="1:5" x14ac:dyDescent="0.2">
      <c r="A7" s="30" t="s">
        <v>260</v>
      </c>
      <c r="B7" s="35"/>
      <c r="D7" s="30" t="s">
        <v>260</v>
      </c>
      <c r="E7" s="35"/>
    </row>
    <row r="8" spans="1:5" x14ac:dyDescent="0.2">
      <c r="A8" s="6" t="s">
        <v>260</v>
      </c>
      <c r="B8" s="35"/>
      <c r="D8" s="6" t="s">
        <v>260</v>
      </c>
      <c r="E8" s="35"/>
    </row>
    <row r="9" spans="1:5" x14ac:dyDescent="0.2">
      <c r="A9" s="28" t="s">
        <v>261</v>
      </c>
      <c r="B9" s="29">
        <f>SUM(B4:B8)</f>
        <v>612310.05000000005</v>
      </c>
      <c r="D9" s="28" t="s">
        <v>261</v>
      </c>
      <c r="E9" s="29">
        <f>SUM(E4:E8)</f>
        <v>311476.95</v>
      </c>
    </row>
    <row r="10" spans="1:5" ht="18.75" x14ac:dyDescent="0.2">
      <c r="A10" s="48" t="s">
        <v>14</v>
      </c>
      <c r="B10" s="11"/>
      <c r="D10" s="48" t="s">
        <v>14</v>
      </c>
      <c r="E10" s="11"/>
    </row>
    <row r="11" spans="1:5" ht="25.5" x14ac:dyDescent="0.2">
      <c r="A11" s="30" t="s">
        <v>262</v>
      </c>
      <c r="B11" s="172">
        <v>698381</v>
      </c>
      <c r="D11" s="30" t="s">
        <v>262</v>
      </c>
      <c r="E11" s="172">
        <f>1107700-B11</f>
        <v>409319</v>
      </c>
    </row>
    <row r="12" spans="1:5" x14ac:dyDescent="0.2">
      <c r="A12" s="6" t="s">
        <v>263</v>
      </c>
      <c r="B12" s="179" t="s">
        <v>264</v>
      </c>
      <c r="D12" s="6" t="s">
        <v>263</v>
      </c>
      <c r="E12" s="179" t="s">
        <v>264</v>
      </c>
    </row>
    <row r="13" spans="1:5" x14ac:dyDescent="0.2">
      <c r="A13" s="6" t="s">
        <v>265</v>
      </c>
      <c r="B13" s="35">
        <v>24506</v>
      </c>
      <c r="D13" s="6" t="s">
        <v>265</v>
      </c>
      <c r="E13" s="35">
        <f>36570-B13</f>
        <v>12064</v>
      </c>
    </row>
    <row r="14" spans="1:5" x14ac:dyDescent="0.2">
      <c r="A14" s="6" t="s">
        <v>266</v>
      </c>
      <c r="B14" s="35">
        <v>31406</v>
      </c>
      <c r="D14" s="6" t="s">
        <v>266</v>
      </c>
      <c r="E14" s="35">
        <f>46875-B14</f>
        <v>15469</v>
      </c>
    </row>
    <row r="15" spans="1:5" x14ac:dyDescent="0.2">
      <c r="A15" s="6" t="s">
        <v>267</v>
      </c>
      <c r="B15" s="35"/>
      <c r="D15" s="6" t="s">
        <v>268</v>
      </c>
      <c r="E15" s="35"/>
    </row>
    <row r="16" spans="1:5" x14ac:dyDescent="0.2">
      <c r="A16" s="6" t="s">
        <v>260</v>
      </c>
      <c r="B16" s="35"/>
      <c r="D16" s="6" t="s">
        <v>260</v>
      </c>
      <c r="E16" s="35"/>
    </row>
    <row r="17" spans="1:5" x14ac:dyDescent="0.2">
      <c r="A17" s="28" t="s">
        <v>269</v>
      </c>
      <c r="B17" s="29">
        <f>SUM(B11:B16)</f>
        <v>754293</v>
      </c>
      <c r="D17" s="28" t="s">
        <v>269</v>
      </c>
      <c r="E17" s="29">
        <f>SUM(E11:E16)</f>
        <v>436852</v>
      </c>
    </row>
    <row r="18" spans="1:5" ht="18.75" x14ac:dyDescent="0.2">
      <c r="A18" s="48" t="s">
        <v>270</v>
      </c>
      <c r="B18" s="104"/>
      <c r="D18" s="48" t="s">
        <v>270</v>
      </c>
      <c r="E18" s="104"/>
    </row>
    <row r="19" spans="1:5" x14ac:dyDescent="0.2">
      <c r="A19" s="30" t="s">
        <v>271</v>
      </c>
      <c r="B19" s="35">
        <v>322048</v>
      </c>
      <c r="D19" s="30" t="s">
        <v>270</v>
      </c>
      <c r="E19" s="35">
        <f>480669-B19</f>
        <v>158621</v>
      </c>
    </row>
    <row r="20" spans="1:5" x14ac:dyDescent="0.2">
      <c r="A20" s="6" t="s">
        <v>260</v>
      </c>
      <c r="B20" s="35"/>
      <c r="D20" s="6" t="s">
        <v>260</v>
      </c>
      <c r="E20" s="35"/>
    </row>
    <row r="21" spans="1:5" x14ac:dyDescent="0.2">
      <c r="A21" s="28" t="s">
        <v>272</v>
      </c>
      <c r="B21" s="29">
        <f>SUM(B19:B20)</f>
        <v>322048</v>
      </c>
      <c r="D21" s="28" t="s">
        <v>272</v>
      </c>
      <c r="E21" s="29">
        <f>SUM(E19:E20)</f>
        <v>158621</v>
      </c>
    </row>
    <row r="22" spans="1:5" ht="18.75" x14ac:dyDescent="0.2">
      <c r="A22" s="48" t="s">
        <v>15</v>
      </c>
      <c r="B22" s="104"/>
      <c r="D22" s="48" t="s">
        <v>15</v>
      </c>
      <c r="E22" s="104"/>
    </row>
    <row r="23" spans="1:5" x14ac:dyDescent="0.2">
      <c r="A23" s="6" t="s">
        <v>273</v>
      </c>
      <c r="B23" s="35"/>
      <c r="D23" s="6" t="s">
        <v>273</v>
      </c>
      <c r="E23" s="35"/>
    </row>
    <row r="24" spans="1:5" x14ac:dyDescent="0.2">
      <c r="A24" s="6" t="s">
        <v>260</v>
      </c>
      <c r="B24" s="35"/>
      <c r="D24" s="6" t="s">
        <v>260</v>
      </c>
      <c r="E24" s="35"/>
    </row>
    <row r="25" spans="1:5" x14ac:dyDescent="0.2">
      <c r="A25" s="28" t="s">
        <v>274</v>
      </c>
      <c r="B25" s="29">
        <f>SUM(B23:B24)</f>
        <v>0</v>
      </c>
      <c r="D25" s="28" t="s">
        <v>274</v>
      </c>
      <c r="E25" s="29">
        <f>SUM(E23:E24)</f>
        <v>0</v>
      </c>
    </row>
    <row r="26" spans="1:5" ht="18.75" x14ac:dyDescent="0.2">
      <c r="A26" s="48" t="s">
        <v>16</v>
      </c>
      <c r="B26" s="104"/>
      <c r="D26" s="48" t="s">
        <v>16</v>
      </c>
      <c r="E26" s="104"/>
    </row>
    <row r="27" spans="1:5" x14ac:dyDescent="0.2">
      <c r="A27" s="6" t="s">
        <v>16</v>
      </c>
      <c r="B27" s="35">
        <v>331647</v>
      </c>
      <c r="D27" s="6" t="s">
        <v>16</v>
      </c>
      <c r="E27" s="35">
        <f>497468-B27</f>
        <v>165821</v>
      </c>
    </row>
    <row r="28" spans="1:5" x14ac:dyDescent="0.2">
      <c r="A28" s="6" t="s">
        <v>260</v>
      </c>
      <c r="B28" s="35"/>
      <c r="D28" s="6" t="s">
        <v>260</v>
      </c>
      <c r="E28" s="35"/>
    </row>
    <row r="29" spans="1:5" x14ac:dyDescent="0.2">
      <c r="A29" s="28" t="s">
        <v>275</v>
      </c>
      <c r="B29" s="29">
        <f>SUM(B27:B28)</f>
        <v>331647</v>
      </c>
      <c r="D29" s="28" t="s">
        <v>275</v>
      </c>
      <c r="E29" s="29">
        <f>SUM(E27:E28)</f>
        <v>165821</v>
      </c>
    </row>
    <row r="30" spans="1:5" ht="18.75" x14ac:dyDescent="0.2">
      <c r="A30" s="48" t="s">
        <v>17</v>
      </c>
      <c r="B30" s="11"/>
      <c r="D30" s="50" t="s">
        <v>276</v>
      </c>
      <c r="E30" s="29">
        <f>SUM(E9,E17,E21,E25,E29)</f>
        <v>1072770.95</v>
      </c>
    </row>
    <row r="31" spans="1:5" x14ac:dyDescent="0.2">
      <c r="A31" s="6" t="s">
        <v>277</v>
      </c>
      <c r="B31" s="35">
        <v>6450</v>
      </c>
    </row>
    <row r="32" spans="1:5" x14ac:dyDescent="0.2">
      <c r="A32" s="6" t="s">
        <v>278</v>
      </c>
      <c r="B32" s="35">
        <v>9000</v>
      </c>
    </row>
    <row r="33" spans="1:2" x14ac:dyDescent="0.2">
      <c r="A33" s="6" t="s">
        <v>279</v>
      </c>
      <c r="B33" s="35">
        <v>9159</v>
      </c>
    </row>
    <row r="34" spans="1:2" x14ac:dyDescent="0.2">
      <c r="A34" s="6" t="s">
        <v>280</v>
      </c>
      <c r="B34" s="35">
        <v>6433.88</v>
      </c>
    </row>
    <row r="35" spans="1:2" x14ac:dyDescent="0.2">
      <c r="A35" s="6" t="s">
        <v>281</v>
      </c>
      <c r="B35" s="35">
        <v>6433.88</v>
      </c>
    </row>
    <row r="36" spans="1:2" x14ac:dyDescent="0.2">
      <c r="A36" s="6" t="s">
        <v>282</v>
      </c>
      <c r="B36" s="35">
        <v>3676.5</v>
      </c>
    </row>
    <row r="37" spans="1:2" x14ac:dyDescent="0.2">
      <c r="A37" s="6" t="s">
        <v>283</v>
      </c>
      <c r="B37" s="35">
        <v>3676.5</v>
      </c>
    </row>
    <row r="38" spans="1:2" x14ac:dyDescent="0.2">
      <c r="A38" s="6" t="s">
        <v>284</v>
      </c>
      <c r="B38" s="35">
        <v>3676.5</v>
      </c>
    </row>
    <row r="39" spans="1:2" x14ac:dyDescent="0.2">
      <c r="A39" s="6" t="s">
        <v>285</v>
      </c>
      <c r="B39" s="35">
        <v>13556.4</v>
      </c>
    </row>
    <row r="40" spans="1:2" x14ac:dyDescent="0.2">
      <c r="A40" s="6" t="s">
        <v>281</v>
      </c>
      <c r="B40" s="35">
        <v>4279.28</v>
      </c>
    </row>
    <row r="41" spans="1:2" x14ac:dyDescent="0.2">
      <c r="A41" s="6" t="s">
        <v>286</v>
      </c>
      <c r="B41" s="35">
        <v>6091.8</v>
      </c>
    </row>
    <row r="42" spans="1:2" x14ac:dyDescent="0.2">
      <c r="A42" s="6" t="s">
        <v>287</v>
      </c>
      <c r="B42" s="35">
        <v>4279.28</v>
      </c>
    </row>
    <row r="43" spans="1:2" x14ac:dyDescent="0.2">
      <c r="A43" s="6" t="s">
        <v>288</v>
      </c>
      <c r="B43" s="35">
        <v>6091.8</v>
      </c>
    </row>
    <row r="44" spans="1:2" x14ac:dyDescent="0.2">
      <c r="A44" s="6" t="s">
        <v>289</v>
      </c>
      <c r="B44" s="35">
        <v>9731.8700000000008</v>
      </c>
    </row>
    <row r="45" spans="1:2" x14ac:dyDescent="0.2">
      <c r="A45" s="6" t="s">
        <v>290</v>
      </c>
      <c r="B45" s="35">
        <v>29925</v>
      </c>
    </row>
    <row r="46" spans="1:2" x14ac:dyDescent="0.2">
      <c r="A46" s="6" t="s">
        <v>278</v>
      </c>
      <c r="B46" s="35">
        <v>3375</v>
      </c>
    </row>
    <row r="47" spans="1:2" x14ac:dyDescent="0.2">
      <c r="A47" s="6" t="s">
        <v>291</v>
      </c>
      <c r="B47" s="35">
        <v>11400</v>
      </c>
    </row>
    <row r="48" spans="1:2" x14ac:dyDescent="0.2">
      <c r="A48" s="6" t="s">
        <v>278</v>
      </c>
      <c r="B48" s="35">
        <v>110362.5</v>
      </c>
    </row>
    <row r="49" spans="1:5" s="32" customFormat="1" x14ac:dyDescent="0.2">
      <c r="A49" s="33" t="s">
        <v>292</v>
      </c>
      <c r="B49" s="29">
        <f>+SUM(B31:B48)</f>
        <v>247599.19</v>
      </c>
      <c r="D49" s="1"/>
      <c r="E49" s="1"/>
    </row>
    <row r="50" spans="1:5" x14ac:dyDescent="0.2">
      <c r="A50" s="31" t="s">
        <v>18</v>
      </c>
      <c r="B50" s="35" t="s">
        <v>19</v>
      </c>
    </row>
    <row r="51" spans="1:5" ht="18.75" x14ac:dyDescent="0.2">
      <c r="A51" s="50" t="s">
        <v>276</v>
      </c>
      <c r="B51" s="29">
        <f>SUM(B9,B17,B21,B25,B29,B49,B50:B50)</f>
        <v>2267897.2400000002</v>
      </c>
    </row>
    <row r="52" spans="1:5" x14ac:dyDescent="0.2">
      <c r="B52" s="13"/>
    </row>
    <row r="53" spans="1:5" x14ac:dyDescent="0.2">
      <c r="B53" s="13"/>
    </row>
    <row r="54" spans="1:5" x14ac:dyDescent="0.2">
      <c r="B54" s="4"/>
    </row>
  </sheetData>
  <mergeCells count="2">
    <mergeCell ref="A1:B1"/>
    <mergeCell ref="D1:E1"/>
  </mergeCells>
  <printOptions horizontalCentered="1"/>
  <pageMargins left="0.7" right="0.7" top="0.75" bottom="0.75" header="0.3" footer="0.3"/>
  <pageSetup fitToHeight="100" orientation="portrait" r:id="rId1"/>
  <headerFooter>
    <oddHeader>&amp;L&amp;"-,Bold"Nevada Shared Radio System Replacement Project
Washoe County&amp;R&amp;"-,Bold"EX_6_WAS_SOW
Price Schedule_Rev10</oddHeader>
    <oddFooter>&amp;L&amp;"Arial,Regular"Confidential, Proprietary &amp;&amp;
Competition Sensitive&amp;C&amp;G&amp;R&amp;"Arial,Regular"September 17, 2018
Page &amp;P</oddFooter>
  </headerFooter>
  <colBreaks count="1" manualBreakCount="1">
    <brk id="2"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F26"/>
  <sheetViews>
    <sheetView view="pageBreakPreview" zoomScaleNormal="100" zoomScaleSheetLayoutView="100" workbookViewId="0">
      <selection activeCell="B21" sqref="B21"/>
    </sheetView>
  </sheetViews>
  <sheetFormatPr defaultColWidth="9.140625" defaultRowHeight="12.75" x14ac:dyDescent="0.2"/>
  <cols>
    <col min="1" max="1" width="65" style="1" bestFit="1" customWidth="1"/>
    <col min="2" max="2" width="25" style="1" customWidth="1"/>
    <col min="3" max="3" width="12.5703125" style="14" bestFit="1" customWidth="1"/>
    <col min="4" max="4" width="9.140625" style="1"/>
    <col min="5" max="5" width="24.140625" style="1" customWidth="1"/>
    <col min="6" max="6" width="19.42578125" style="1" customWidth="1"/>
    <col min="7" max="16384" width="9.140625" style="1"/>
  </cols>
  <sheetData>
    <row r="1" spans="1:6" s="47" customFormat="1" ht="18.75" x14ac:dyDescent="0.2">
      <c r="A1" s="257" t="s">
        <v>293</v>
      </c>
      <c r="B1" s="257"/>
    </row>
    <row r="2" spans="1:6" s="47" customFormat="1" ht="41.25" customHeight="1" x14ac:dyDescent="0.2">
      <c r="A2" s="221" t="s">
        <v>294</v>
      </c>
      <c r="B2" s="222"/>
    </row>
    <row r="3" spans="1:6" s="47" customFormat="1" x14ac:dyDescent="0.2">
      <c r="A3" s="223"/>
      <c r="B3" s="224"/>
    </row>
    <row r="5" spans="1:6" s="47" customFormat="1" ht="25.5" customHeight="1" x14ac:dyDescent="0.2">
      <c r="A5" s="256" t="s">
        <v>295</v>
      </c>
      <c r="B5" s="256"/>
    </row>
    <row r="6" spans="1:6" x14ac:dyDescent="0.2">
      <c r="A6" s="62" t="s">
        <v>3</v>
      </c>
      <c r="B6" s="62" t="s">
        <v>4</v>
      </c>
      <c r="E6" s="7"/>
    </row>
    <row r="7" spans="1:6" x14ac:dyDescent="0.2">
      <c r="A7" s="6" t="s">
        <v>5</v>
      </c>
      <c r="B7" s="63">
        <f>'Table B.8 - WC System'!BV15</f>
        <v>0</v>
      </c>
      <c r="C7" s="15"/>
      <c r="D7" s="3"/>
      <c r="E7" s="8"/>
      <c r="F7" s="3"/>
    </row>
    <row r="8" spans="1:6" x14ac:dyDescent="0.2">
      <c r="A8" s="6" t="s">
        <v>6</v>
      </c>
      <c r="B8" s="63">
        <f>'Table B.8 - WC System'!BV22</f>
        <v>77700</v>
      </c>
      <c r="C8" s="15"/>
      <c r="D8" s="3"/>
      <c r="E8" s="8"/>
      <c r="F8" s="3"/>
    </row>
    <row r="9" spans="1:6" x14ac:dyDescent="0.2">
      <c r="A9" s="6" t="s">
        <v>7</v>
      </c>
      <c r="B9" s="63">
        <f>'Table B.8 - WC System'!BV31</f>
        <v>1131071.5</v>
      </c>
      <c r="C9" s="15"/>
      <c r="D9" s="3"/>
      <c r="E9" s="8"/>
      <c r="F9" s="3"/>
    </row>
    <row r="10" spans="1:6" x14ac:dyDescent="0.2">
      <c r="A10" s="6" t="s">
        <v>8</v>
      </c>
      <c r="B10" s="63">
        <f>'Table B.8 - WC System'!BV51</f>
        <v>109583.75</v>
      </c>
      <c r="C10" s="15"/>
      <c r="D10" s="3"/>
      <c r="E10" s="8"/>
      <c r="F10" s="3"/>
    </row>
    <row r="11" spans="1:6" x14ac:dyDescent="0.2">
      <c r="A11" s="6" t="s">
        <v>9</v>
      </c>
      <c r="B11" s="63">
        <f>'Table B.8 - WC System'!BV60</f>
        <v>284351.47499999998</v>
      </c>
      <c r="C11" s="15"/>
      <c r="D11" s="3"/>
      <c r="E11" s="8"/>
      <c r="F11" s="3"/>
    </row>
    <row r="12" spans="1:6" x14ac:dyDescent="0.2">
      <c r="A12" s="6" t="s">
        <v>296</v>
      </c>
      <c r="B12" s="63">
        <f>'Table B.8 - WC System'!BV71</f>
        <v>2770593.5606060605</v>
      </c>
      <c r="C12" s="15"/>
      <c r="D12" s="5"/>
      <c r="E12" s="8"/>
      <c r="F12" s="3"/>
    </row>
    <row r="13" spans="1:6" x14ac:dyDescent="0.2">
      <c r="A13" s="6" t="s">
        <v>151</v>
      </c>
      <c r="B13" s="63">
        <f>'Table B.8 - WC System'!BV76</f>
        <v>490773.06999999995</v>
      </c>
      <c r="C13" s="15"/>
      <c r="D13" s="5"/>
      <c r="E13" s="8"/>
      <c r="F13" s="3"/>
    </row>
    <row r="14" spans="1:6" x14ac:dyDescent="0.2">
      <c r="A14" s="64" t="s">
        <v>11</v>
      </c>
      <c r="B14" s="65">
        <f>SUM(B8:B13)</f>
        <v>4864073.3556060605</v>
      </c>
      <c r="C14" s="15"/>
      <c r="D14" s="3"/>
      <c r="E14" s="9"/>
      <c r="F14" s="2"/>
    </row>
    <row r="15" spans="1:6" x14ac:dyDescent="0.2">
      <c r="A15" s="87" t="s">
        <v>12</v>
      </c>
      <c r="B15" s="62"/>
      <c r="E15" s="8"/>
    </row>
    <row r="16" spans="1:6" x14ac:dyDescent="0.2">
      <c r="A16" s="6" t="s">
        <v>13</v>
      </c>
      <c r="B16" s="63">
        <f>'Table B.10 - WC Services'!E9</f>
        <v>311476.95</v>
      </c>
      <c r="C16" s="15"/>
      <c r="E16" s="8"/>
    </row>
    <row r="17" spans="1:6" x14ac:dyDescent="0.2">
      <c r="A17" s="6" t="s">
        <v>14</v>
      </c>
      <c r="B17" s="63">
        <f>'Table B.10 - WC Services'!E17</f>
        <v>436852</v>
      </c>
      <c r="C17" s="15"/>
      <c r="E17" s="7"/>
      <c r="F17" s="3"/>
    </row>
    <row r="18" spans="1:6" x14ac:dyDescent="0.2">
      <c r="A18" s="6" t="s">
        <v>270</v>
      </c>
      <c r="B18" s="63">
        <f>'Table B.10 - WC Services'!E21</f>
        <v>158621</v>
      </c>
      <c r="C18" s="15"/>
      <c r="E18" s="10"/>
    </row>
    <row r="19" spans="1:6" x14ac:dyDescent="0.2">
      <c r="A19" s="6" t="s">
        <v>15</v>
      </c>
      <c r="B19" s="63">
        <f>'Table B.10 - WC Services'!E25</f>
        <v>0</v>
      </c>
      <c r="C19" s="15"/>
      <c r="E19" s="10"/>
    </row>
    <row r="20" spans="1:6" x14ac:dyDescent="0.2">
      <c r="A20" s="6" t="s">
        <v>16</v>
      </c>
      <c r="B20" s="63">
        <f>'Table B.10 - WC Services'!E29</f>
        <v>165821</v>
      </c>
      <c r="C20" s="15"/>
      <c r="E20" s="10"/>
    </row>
    <row r="21" spans="1:6" x14ac:dyDescent="0.2">
      <c r="A21" s="66" t="s">
        <v>20</v>
      </c>
      <c r="B21" s="29">
        <f>SUM(B16:B20)</f>
        <v>1072770.95</v>
      </c>
      <c r="C21" s="15"/>
      <c r="F21" s="2"/>
    </row>
    <row r="22" spans="1:6" s="49" customFormat="1" ht="15.75" x14ac:dyDescent="0.25">
      <c r="A22" s="164" t="s">
        <v>297</v>
      </c>
      <c r="B22" s="165">
        <f>SUM(B14,B21)</f>
        <v>5936844.3056060607</v>
      </c>
      <c r="C22" s="112"/>
      <c r="F22" s="113"/>
    </row>
    <row r="23" spans="1:6" x14ac:dyDescent="0.2">
      <c r="A23" s="6" t="s">
        <v>298</v>
      </c>
      <c r="B23" s="63"/>
      <c r="C23" s="15"/>
      <c r="E23" s="10"/>
    </row>
    <row r="24" spans="1:6" s="49" customFormat="1" ht="15.75" x14ac:dyDescent="0.25">
      <c r="A24" s="164" t="s">
        <v>299</v>
      </c>
      <c r="B24" s="165">
        <f>SUM(B22-B23)</f>
        <v>5936844.3056060607</v>
      </c>
      <c r="C24" s="114"/>
    </row>
    <row r="26" spans="1:6" x14ac:dyDescent="0.2">
      <c r="B26" s="4"/>
    </row>
  </sheetData>
  <mergeCells count="4">
    <mergeCell ref="A5:B5"/>
    <mergeCell ref="A1:B1"/>
    <mergeCell ref="A2:B2"/>
    <mergeCell ref="A3:B3"/>
  </mergeCells>
  <printOptions horizontalCentered="1"/>
  <pageMargins left="0.7" right="0.7" top="0.75" bottom="0.75" header="0.3" footer="0.3"/>
  <pageSetup fitToHeight="8" orientation="portrait" r:id="rId1"/>
  <headerFooter>
    <oddHeader>&amp;L&amp;"-,Bold"Nevada Shared Radio System Replacement Project
Washoe County&amp;R&amp;"-,Bold"EX_6_WAS_SOW
Price Schedule_Rev10</oddHeader>
    <oddFooter>&amp;L&amp;"Arial,Regular"Confidential, Proprietary &amp;&amp;
Competition Sensitive&amp;C&amp;G&amp;R&amp;"Arial,Regular"September 17, 2018
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D34"/>
  <sheetViews>
    <sheetView view="pageBreakPreview" zoomScaleNormal="100" zoomScaleSheetLayoutView="100" workbookViewId="0">
      <selection activeCell="H28" sqref="H28"/>
    </sheetView>
  </sheetViews>
  <sheetFormatPr defaultColWidth="9.140625" defaultRowHeight="12.75" x14ac:dyDescent="0.2"/>
  <cols>
    <col min="1" max="1" width="55.5703125" style="1" customWidth="1"/>
    <col min="2" max="4" width="16.140625" style="1" customWidth="1"/>
    <col min="5" max="16384" width="9.140625" style="1"/>
  </cols>
  <sheetData>
    <row r="1" spans="1:4" ht="21" x14ac:dyDescent="0.35">
      <c r="A1" s="260" t="s">
        <v>300</v>
      </c>
      <c r="B1" s="260"/>
      <c r="C1" s="260"/>
      <c r="D1" s="260"/>
    </row>
    <row r="2" spans="1:4" ht="30" customHeight="1" x14ac:dyDescent="0.25">
      <c r="A2" s="261" t="s">
        <v>301</v>
      </c>
      <c r="B2" s="261"/>
      <c r="C2" s="261"/>
      <c r="D2" s="261"/>
    </row>
    <row r="3" spans="1:4" ht="30" customHeight="1" x14ac:dyDescent="0.25">
      <c r="A3" s="261" t="s">
        <v>302</v>
      </c>
      <c r="B3" s="261"/>
      <c r="C3" s="261"/>
      <c r="D3" s="261"/>
    </row>
    <row r="4" spans="1:4" ht="15" customHeight="1" x14ac:dyDescent="0.3">
      <c r="A4" s="262"/>
      <c r="B4" s="262"/>
      <c r="C4" s="262"/>
      <c r="D4" s="262"/>
    </row>
    <row r="5" spans="1:4" ht="18.75" customHeight="1" x14ac:dyDescent="0.3">
      <c r="A5" s="258" t="s">
        <v>303</v>
      </c>
      <c r="B5" s="258"/>
      <c r="C5" s="258"/>
      <c r="D5" s="258"/>
    </row>
    <row r="6" spans="1:4" ht="45" customHeight="1" x14ac:dyDescent="0.25">
      <c r="A6" s="263" t="s">
        <v>304</v>
      </c>
      <c r="B6" s="263"/>
      <c r="C6" s="263"/>
      <c r="D6" s="263"/>
    </row>
    <row r="7" spans="1:4" s="34" customFormat="1" ht="25.5" x14ac:dyDescent="0.2">
      <c r="A7" s="215" t="s">
        <v>253</v>
      </c>
      <c r="B7" s="215" t="s">
        <v>305</v>
      </c>
      <c r="C7" s="215" t="s">
        <v>306</v>
      </c>
      <c r="D7" s="215" t="s">
        <v>4</v>
      </c>
    </row>
    <row r="8" spans="1:4" x14ac:dyDescent="0.2">
      <c r="A8" s="86" t="s">
        <v>307</v>
      </c>
      <c r="B8" s="35" t="s">
        <v>308</v>
      </c>
      <c r="C8" s="85">
        <v>0.26</v>
      </c>
      <c r="D8" s="63">
        <v>0</v>
      </c>
    </row>
    <row r="9" spans="1:4" x14ac:dyDescent="0.2">
      <c r="A9" s="216" t="s">
        <v>309</v>
      </c>
      <c r="B9" s="35"/>
      <c r="C9" s="85"/>
      <c r="D9" s="63">
        <f t="shared" ref="D9:D15" si="0">SUM(B9-B9*C9)</f>
        <v>0</v>
      </c>
    </row>
    <row r="10" spans="1:4" x14ac:dyDescent="0.2">
      <c r="A10" s="216"/>
      <c r="B10" s="35"/>
      <c r="C10" s="85"/>
      <c r="D10" s="63">
        <f t="shared" si="0"/>
        <v>0</v>
      </c>
    </row>
    <row r="11" spans="1:4" x14ac:dyDescent="0.2">
      <c r="A11" s="86" t="s">
        <v>310</v>
      </c>
      <c r="B11" s="35" t="s">
        <v>308</v>
      </c>
      <c r="C11" s="264" t="s">
        <v>311</v>
      </c>
      <c r="D11" s="265"/>
    </row>
    <row r="12" spans="1:4" x14ac:dyDescent="0.2">
      <c r="A12" s="216" t="s">
        <v>312</v>
      </c>
      <c r="B12" s="35"/>
      <c r="C12" s="85"/>
      <c r="D12" s="63">
        <f t="shared" si="0"/>
        <v>0</v>
      </c>
    </row>
    <row r="13" spans="1:4" x14ac:dyDescent="0.2">
      <c r="A13" s="216"/>
      <c r="B13" s="35"/>
      <c r="C13" s="85"/>
      <c r="D13" s="63">
        <f t="shared" si="0"/>
        <v>0</v>
      </c>
    </row>
    <row r="14" spans="1:4" x14ac:dyDescent="0.2">
      <c r="A14" s="86" t="s">
        <v>313</v>
      </c>
      <c r="B14" s="35" t="s">
        <v>308</v>
      </c>
      <c r="C14" s="85">
        <v>0.1</v>
      </c>
      <c r="D14" s="63">
        <v>0</v>
      </c>
    </row>
    <row r="15" spans="1:4" x14ac:dyDescent="0.2">
      <c r="A15" s="216"/>
      <c r="B15" s="35"/>
      <c r="C15" s="85"/>
      <c r="D15" s="63">
        <f t="shared" si="0"/>
        <v>0</v>
      </c>
    </row>
    <row r="16" spans="1:4" x14ac:dyDescent="0.2">
      <c r="A16" s="86" t="s">
        <v>314</v>
      </c>
      <c r="B16" s="35" t="s">
        <v>308</v>
      </c>
      <c r="C16" s="85">
        <v>0.26</v>
      </c>
      <c r="D16" s="63">
        <v>0</v>
      </c>
    </row>
    <row r="17" spans="1:4" ht="18.75" x14ac:dyDescent="0.3">
      <c r="A17" s="258" t="s">
        <v>315</v>
      </c>
      <c r="B17" s="258"/>
      <c r="C17" s="258"/>
      <c r="D17" s="258"/>
    </row>
    <row r="18" spans="1:4" ht="30" customHeight="1" x14ac:dyDescent="0.25">
      <c r="A18" s="259" t="s">
        <v>316</v>
      </c>
      <c r="B18" s="259"/>
      <c r="C18" s="259"/>
      <c r="D18" s="259"/>
    </row>
    <row r="19" spans="1:4" s="34" customFormat="1" ht="38.25" x14ac:dyDescent="0.2">
      <c r="A19" s="215" t="s">
        <v>253</v>
      </c>
      <c r="B19" s="215" t="s">
        <v>317</v>
      </c>
      <c r="C19" s="215" t="s">
        <v>306</v>
      </c>
      <c r="D19" s="215" t="s">
        <v>4</v>
      </c>
    </row>
    <row r="20" spans="1:4" ht="25.5" x14ac:dyDescent="0.2">
      <c r="A20" s="216" t="s">
        <v>318</v>
      </c>
      <c r="B20" s="172">
        <v>151.25</v>
      </c>
      <c r="C20" s="173">
        <v>0</v>
      </c>
      <c r="D20" s="174">
        <f t="shared" ref="D20:D34" si="1">SUM(B20-B20*C20)</f>
        <v>151.25</v>
      </c>
    </row>
    <row r="21" spans="1:4" x14ac:dyDescent="0.2">
      <c r="A21" s="216"/>
      <c r="B21" s="35"/>
      <c r="C21" s="85"/>
      <c r="D21" s="63">
        <f t="shared" si="1"/>
        <v>0</v>
      </c>
    </row>
    <row r="22" spans="1:4" ht="25.5" x14ac:dyDescent="0.2">
      <c r="A22" s="216" t="s">
        <v>319</v>
      </c>
      <c r="B22" s="172">
        <v>198.75</v>
      </c>
      <c r="C22" s="173">
        <v>0</v>
      </c>
      <c r="D22" s="174">
        <f t="shared" si="1"/>
        <v>198.75</v>
      </c>
    </row>
    <row r="23" spans="1:4" x14ac:dyDescent="0.2">
      <c r="A23" s="216"/>
      <c r="B23" s="172"/>
      <c r="C23" s="173"/>
      <c r="D23" s="174">
        <f t="shared" si="1"/>
        <v>0</v>
      </c>
    </row>
    <row r="24" spans="1:4" ht="25.5" x14ac:dyDescent="0.2">
      <c r="A24" s="216" t="s">
        <v>320</v>
      </c>
      <c r="B24" s="172">
        <v>300</v>
      </c>
      <c r="C24" s="173">
        <v>0</v>
      </c>
      <c r="D24" s="174">
        <f t="shared" si="1"/>
        <v>300</v>
      </c>
    </row>
    <row r="25" spans="1:4" x14ac:dyDescent="0.2">
      <c r="A25" s="216"/>
      <c r="B25" s="172"/>
      <c r="C25" s="173"/>
      <c r="D25" s="174">
        <f t="shared" si="1"/>
        <v>0</v>
      </c>
    </row>
    <row r="26" spans="1:4" ht="25.5" x14ac:dyDescent="0.2">
      <c r="A26" s="216" t="s">
        <v>321</v>
      </c>
      <c r="B26" s="172">
        <v>198.75</v>
      </c>
      <c r="C26" s="173">
        <v>0</v>
      </c>
      <c r="D26" s="174">
        <f t="shared" ref="D26" si="2">SUM(B26-B26*C26)</f>
        <v>198.75</v>
      </c>
    </row>
    <row r="27" spans="1:4" x14ac:dyDescent="0.2">
      <c r="A27" s="216"/>
      <c r="B27" s="172"/>
      <c r="C27" s="173"/>
      <c r="D27" s="174">
        <f t="shared" si="1"/>
        <v>0</v>
      </c>
    </row>
    <row r="28" spans="1:4" ht="27.6" customHeight="1" x14ac:dyDescent="0.2">
      <c r="A28" s="216" t="s">
        <v>322</v>
      </c>
      <c r="B28" s="172">
        <v>300</v>
      </c>
      <c r="C28" s="173">
        <v>0</v>
      </c>
      <c r="D28" s="174">
        <f t="shared" ref="D28" si="3">SUM(B28-B28*C28)</f>
        <v>300</v>
      </c>
    </row>
    <row r="29" spans="1:4" x14ac:dyDescent="0.2">
      <c r="A29" s="216"/>
      <c r="B29" s="172"/>
      <c r="C29" s="173"/>
      <c r="D29" s="174">
        <f t="shared" si="1"/>
        <v>0</v>
      </c>
    </row>
    <row r="30" spans="1:4" ht="13.9" customHeight="1" x14ac:dyDescent="0.2">
      <c r="A30" s="216" t="s">
        <v>323</v>
      </c>
      <c r="B30" s="172">
        <v>187.5</v>
      </c>
      <c r="C30" s="173">
        <v>0</v>
      </c>
      <c r="D30" s="174">
        <f t="shared" si="1"/>
        <v>187.5</v>
      </c>
    </row>
    <row r="31" spans="1:4" x14ac:dyDescent="0.2">
      <c r="A31" s="216"/>
      <c r="B31" s="172"/>
      <c r="C31" s="173"/>
      <c r="D31" s="174">
        <f t="shared" si="1"/>
        <v>0</v>
      </c>
    </row>
    <row r="32" spans="1:4" ht="51" x14ac:dyDescent="0.2">
      <c r="A32" s="216" t="s">
        <v>324</v>
      </c>
      <c r="B32" s="172">
        <v>150</v>
      </c>
      <c r="C32" s="173">
        <v>0</v>
      </c>
      <c r="D32" s="174">
        <f t="shared" si="1"/>
        <v>150</v>
      </c>
    </row>
    <row r="33" spans="1:4" x14ac:dyDescent="0.2">
      <c r="A33" s="216"/>
      <c r="B33" s="172"/>
      <c r="C33" s="173"/>
      <c r="D33" s="174">
        <f t="shared" si="1"/>
        <v>0</v>
      </c>
    </row>
    <row r="34" spans="1:4" ht="51" x14ac:dyDescent="0.2">
      <c r="A34" s="216" t="s">
        <v>325</v>
      </c>
      <c r="B34" s="172">
        <v>125</v>
      </c>
      <c r="C34" s="173">
        <v>0</v>
      </c>
      <c r="D34" s="174">
        <f t="shared" si="1"/>
        <v>125</v>
      </c>
    </row>
  </sheetData>
  <customSheetViews>
    <customSheetView guid="{2CCC7B39-935D-435C-BB32-70CB41003C82}" showPageBreaks="1">
      <selection activeCell="A7" sqref="A7:C7"/>
      <rowBreaks count="1" manualBreakCount="1">
        <brk id="109" max="16383" man="1"/>
      </rowBreaks>
      <pageMargins left="0" right="0" top="0" bottom="0" header="0" footer="0"/>
      <printOptions horizontalCentered="1"/>
      <pageSetup scale="99" fitToHeight="6" orientation="portrait" r:id="rId1"/>
      <headerFooter>
        <oddHeader>&amp;L&amp;"-,Bold"Project 25 Radio System&amp;C&amp;"-,Bold"RFP # XXXX&amp;R&amp;"-,Bold"Attachment B - Proposal Pricing Forms</oddHeader>
      </headerFooter>
    </customSheetView>
    <customSheetView guid="{9C902D8C-99B9-4A37-8078-0EB8BCE2A547}">
      <selection activeCell="A7" sqref="A7:C7"/>
      <rowBreaks count="1" manualBreakCount="1">
        <brk id="109" max="16383" man="1"/>
      </rowBreaks>
      <pageMargins left="0" right="0" top="0" bottom="0" header="0" footer="0"/>
      <printOptions horizontalCentered="1"/>
      <pageSetup scale="99" fitToHeight="6" orientation="portrait" r:id="rId2"/>
      <headerFooter>
        <oddHeader>&amp;L&amp;"-,Bold"Project 25 Radio System&amp;C&amp;"-,Bold"RFP # XXXX&amp;R&amp;"-,Bold"Attachment B - Proposal Pricing Forms</oddHeader>
      </headerFooter>
    </customSheetView>
    <customSheetView guid="{EFF273BD-F73A-4BFF-8940-4E7CE3C7328B}">
      <selection sqref="A1:C1"/>
      <rowBreaks count="1" manualBreakCount="1">
        <brk id="108" max="16383" man="1"/>
      </rowBreaks>
      <pageMargins left="0" right="0" top="0" bottom="0" header="0" footer="0"/>
      <printOptions horizontalCentered="1"/>
      <pageSetup scale="99" fitToHeight="6" orientation="portrait" r:id="rId3"/>
      <headerFooter>
        <oddHeader>&amp;L&amp;"-,Bold"Project 25 Radio System&amp;C&amp;"-,Bold"RFP # XXXX&amp;R&amp;"-,Bold"Attachment B - Proposal Pricing Forms</oddHeader>
      </headerFooter>
    </customSheetView>
  </customSheetViews>
  <mergeCells count="9">
    <mergeCell ref="A17:D17"/>
    <mergeCell ref="A18:D18"/>
    <mergeCell ref="A1:D1"/>
    <mergeCell ref="A2:D2"/>
    <mergeCell ref="A3:D3"/>
    <mergeCell ref="A4:D4"/>
    <mergeCell ref="A6:D6"/>
    <mergeCell ref="A5:D5"/>
    <mergeCell ref="C11:D11"/>
  </mergeCells>
  <printOptions horizontalCentered="1"/>
  <pageMargins left="0.7" right="0.7" top="0.75" bottom="0.75" header="0.3" footer="0.3"/>
  <pageSetup scale="87" fitToHeight="6" orientation="portrait" r:id="rId4"/>
  <headerFooter>
    <oddHeader>&amp;L&amp;"-,Bold"Nevada Shared Radio System Replacement Project
Washoe County&amp;R&amp;"-,Bold"EX_6_WAS_SOW
Price Schedule_Rev10</oddHeader>
    <oddFooter>&amp;L&amp;"Arial,Regular"Confidential, Proprietary &amp;&amp;
Competition Sensitive&amp;C&amp;G&amp;R&amp;"Arial,Regular"September 17, 2018
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72"/>
  <sheetViews>
    <sheetView view="pageBreakPreview" zoomScaleNormal="100" zoomScaleSheetLayoutView="100" workbookViewId="0">
      <selection activeCell="E36" sqref="E36"/>
    </sheetView>
  </sheetViews>
  <sheetFormatPr defaultColWidth="9.140625" defaultRowHeight="12.75" x14ac:dyDescent="0.2"/>
  <cols>
    <col min="1" max="1" width="61" style="1" customWidth="1"/>
    <col min="2" max="2" width="23.140625" style="1" customWidth="1"/>
    <col min="3" max="16384" width="9.140625" style="1"/>
  </cols>
  <sheetData>
    <row r="1" spans="1:2" ht="21" x14ac:dyDescent="0.35">
      <c r="A1" s="266" t="s">
        <v>326</v>
      </c>
      <c r="B1" s="267"/>
    </row>
    <row r="2" spans="1:2" ht="18.75" customHeight="1" x14ac:dyDescent="0.2">
      <c r="A2" s="268" t="s">
        <v>327</v>
      </c>
      <c r="B2" s="269"/>
    </row>
    <row r="3" spans="1:2" ht="19.5" customHeight="1" x14ac:dyDescent="0.3">
      <c r="A3" s="272" t="s">
        <v>328</v>
      </c>
      <c r="B3" s="273"/>
    </row>
    <row r="4" spans="1:2" ht="33" customHeight="1" x14ac:dyDescent="0.25">
      <c r="A4" s="270" t="s">
        <v>329</v>
      </c>
      <c r="B4" s="271"/>
    </row>
    <row r="5" spans="1:2" s="34" customFormat="1" ht="15" customHeight="1" x14ac:dyDescent="0.2">
      <c r="A5" s="215" t="s">
        <v>253</v>
      </c>
      <c r="B5" s="215" t="s">
        <v>330</v>
      </c>
    </row>
    <row r="6" spans="1:2" ht="12" customHeight="1" x14ac:dyDescent="0.2">
      <c r="A6" s="217" t="s">
        <v>331</v>
      </c>
      <c r="B6" s="35">
        <v>20968</v>
      </c>
    </row>
    <row r="7" spans="1:2" ht="12" customHeight="1" x14ac:dyDescent="0.2">
      <c r="A7" s="217" t="s">
        <v>332</v>
      </c>
      <c r="B7" s="35">
        <v>20968</v>
      </c>
    </row>
    <row r="8" spans="1:2" ht="12" customHeight="1" x14ac:dyDescent="0.2">
      <c r="A8" s="217" t="s">
        <v>333</v>
      </c>
      <c r="B8" s="35">
        <v>20968</v>
      </c>
    </row>
    <row r="9" spans="1:2" ht="12" customHeight="1" x14ac:dyDescent="0.2">
      <c r="A9" s="217" t="s">
        <v>334</v>
      </c>
      <c r="B9" s="35">
        <v>20968</v>
      </c>
    </row>
    <row r="10" spans="1:2" ht="12" customHeight="1" x14ac:dyDescent="0.2">
      <c r="A10" s="217" t="s">
        <v>335</v>
      </c>
      <c r="B10" s="35">
        <v>20968</v>
      </c>
    </row>
    <row r="11" spans="1:2" ht="12" customHeight="1" x14ac:dyDescent="0.2">
      <c r="A11" s="217" t="s">
        <v>336</v>
      </c>
      <c r="B11" s="35">
        <v>20968</v>
      </c>
    </row>
    <row r="12" spans="1:2" ht="12" customHeight="1" x14ac:dyDescent="0.2">
      <c r="A12" s="217" t="s">
        <v>337</v>
      </c>
      <c r="B12" s="35">
        <v>20968</v>
      </c>
    </row>
    <row r="13" spans="1:2" ht="12" customHeight="1" x14ac:dyDescent="0.2">
      <c r="A13" s="217" t="s">
        <v>338</v>
      </c>
      <c r="B13" s="35">
        <v>20968</v>
      </c>
    </row>
    <row r="14" spans="1:2" ht="12" customHeight="1" x14ac:dyDescent="0.2">
      <c r="A14" s="217" t="s">
        <v>339</v>
      </c>
      <c r="B14" s="35">
        <v>20968</v>
      </c>
    </row>
    <row r="15" spans="1:2" ht="12" customHeight="1" x14ac:dyDescent="0.2">
      <c r="A15" s="86" t="s">
        <v>340</v>
      </c>
      <c r="B15" s="166">
        <f>SUM(B6:B14)</f>
        <v>188712</v>
      </c>
    </row>
    <row r="16" spans="1:2" ht="19.5" customHeight="1" x14ac:dyDescent="0.3">
      <c r="A16" s="272" t="s">
        <v>341</v>
      </c>
      <c r="B16" s="273"/>
    </row>
    <row r="17" spans="1:2" ht="33" customHeight="1" x14ac:dyDescent="0.25">
      <c r="A17" s="270" t="s">
        <v>342</v>
      </c>
      <c r="B17" s="271"/>
    </row>
    <row r="18" spans="1:2" s="34" customFormat="1" x14ac:dyDescent="0.2">
      <c r="A18" s="215" t="s">
        <v>253</v>
      </c>
      <c r="B18" s="215" t="s">
        <v>330</v>
      </c>
    </row>
    <row r="19" spans="1:2" ht="12" customHeight="1" x14ac:dyDescent="0.2">
      <c r="A19" s="217" t="s">
        <v>343</v>
      </c>
      <c r="B19" s="35">
        <v>59375</v>
      </c>
    </row>
    <row r="20" spans="1:2" ht="12" customHeight="1" x14ac:dyDescent="0.2">
      <c r="A20" s="217" t="s">
        <v>344</v>
      </c>
      <c r="B20" s="35">
        <v>72303</v>
      </c>
    </row>
    <row r="21" spans="1:2" ht="12" customHeight="1" x14ac:dyDescent="0.2">
      <c r="A21" s="217" t="s">
        <v>345</v>
      </c>
      <c r="B21" s="35">
        <v>72303</v>
      </c>
    </row>
    <row r="22" spans="1:2" ht="12" customHeight="1" x14ac:dyDescent="0.2">
      <c r="A22" s="217" t="s">
        <v>346</v>
      </c>
      <c r="B22" s="35">
        <v>72303</v>
      </c>
    </row>
    <row r="23" spans="1:2" ht="12" customHeight="1" x14ac:dyDescent="0.2">
      <c r="A23" s="217" t="s">
        <v>347</v>
      </c>
      <c r="B23" s="35">
        <v>72303</v>
      </c>
    </row>
    <row r="24" spans="1:2" ht="12" customHeight="1" x14ac:dyDescent="0.2">
      <c r="A24" s="217" t="s">
        <v>348</v>
      </c>
      <c r="B24" s="35">
        <v>72303</v>
      </c>
    </row>
    <row r="25" spans="1:2" ht="12" customHeight="1" x14ac:dyDescent="0.2">
      <c r="A25" s="217" t="s">
        <v>349</v>
      </c>
      <c r="B25" s="35">
        <v>72303</v>
      </c>
    </row>
    <row r="26" spans="1:2" ht="12" customHeight="1" x14ac:dyDescent="0.2">
      <c r="A26" s="217" t="s">
        <v>350</v>
      </c>
      <c r="B26" s="35">
        <v>72303</v>
      </c>
    </row>
    <row r="27" spans="1:2" ht="12" customHeight="1" x14ac:dyDescent="0.2">
      <c r="A27" s="217" t="s">
        <v>351</v>
      </c>
      <c r="B27" s="35">
        <v>72303</v>
      </c>
    </row>
    <row r="28" spans="1:2" ht="12" customHeight="1" x14ac:dyDescent="0.2">
      <c r="A28" s="86" t="s">
        <v>352</v>
      </c>
      <c r="B28" s="166">
        <f>SUM(B19:B27)</f>
        <v>637799</v>
      </c>
    </row>
    <row r="29" spans="1:2" ht="19.5" customHeight="1" x14ac:dyDescent="0.3">
      <c r="A29" s="272" t="s">
        <v>353</v>
      </c>
      <c r="B29" s="273"/>
    </row>
    <row r="30" spans="1:2" ht="15.6" customHeight="1" x14ac:dyDescent="0.25">
      <c r="A30" s="270" t="s">
        <v>354</v>
      </c>
      <c r="B30" s="271"/>
    </row>
    <row r="31" spans="1:2" s="34" customFormat="1" x14ac:dyDescent="0.2">
      <c r="A31" s="215" t="s">
        <v>253</v>
      </c>
      <c r="B31" s="215" t="s">
        <v>330</v>
      </c>
    </row>
    <row r="32" spans="1:2" ht="12" customHeight="1" x14ac:dyDescent="0.2">
      <c r="A32" s="217" t="s">
        <v>355</v>
      </c>
      <c r="B32" s="35">
        <v>185202</v>
      </c>
    </row>
    <row r="33" spans="1:2" ht="12" customHeight="1" x14ac:dyDescent="0.2">
      <c r="A33" s="217" t="s">
        <v>356</v>
      </c>
      <c r="B33" s="35">
        <f>348276-86995</f>
        <v>261281</v>
      </c>
    </row>
    <row r="34" spans="1:2" ht="12" customHeight="1" x14ac:dyDescent="0.2">
      <c r="A34" s="217" t="s">
        <v>357</v>
      </c>
      <c r="B34" s="35">
        <v>86995</v>
      </c>
    </row>
    <row r="35" spans="1:2" ht="12" customHeight="1" x14ac:dyDescent="0.2">
      <c r="A35" s="217" t="s">
        <v>358</v>
      </c>
      <c r="B35" s="35">
        <f>374469-88735</f>
        <v>285734</v>
      </c>
    </row>
    <row r="36" spans="1:2" ht="12" customHeight="1" x14ac:dyDescent="0.2">
      <c r="A36" s="210" t="s">
        <v>359</v>
      </c>
      <c r="B36" s="35"/>
    </row>
    <row r="37" spans="1:2" ht="12" customHeight="1" x14ac:dyDescent="0.2">
      <c r="A37" s="210" t="s">
        <v>360</v>
      </c>
      <c r="B37" s="35"/>
    </row>
    <row r="38" spans="1:2" ht="12" customHeight="1" x14ac:dyDescent="0.2">
      <c r="A38" s="210" t="s">
        <v>361</v>
      </c>
      <c r="B38" s="35"/>
    </row>
    <row r="39" spans="1:2" ht="12" customHeight="1" x14ac:dyDescent="0.2">
      <c r="A39" s="210" t="s">
        <v>362</v>
      </c>
      <c r="B39" s="35"/>
    </row>
    <row r="40" spans="1:2" ht="12" customHeight="1" x14ac:dyDescent="0.2">
      <c r="A40" s="217" t="s">
        <v>363</v>
      </c>
      <c r="B40" s="35">
        <f>380163-90509</f>
        <v>289654</v>
      </c>
    </row>
    <row r="41" spans="1:2" ht="12" customHeight="1" x14ac:dyDescent="0.2">
      <c r="A41" s="210" t="s">
        <v>364</v>
      </c>
      <c r="B41" s="35"/>
    </row>
    <row r="42" spans="1:2" ht="12" customHeight="1" x14ac:dyDescent="0.2">
      <c r="A42" s="210" t="s">
        <v>365</v>
      </c>
      <c r="B42" s="35"/>
    </row>
    <row r="43" spans="1:2" ht="12" customHeight="1" x14ac:dyDescent="0.2">
      <c r="A43" s="210" t="s">
        <v>366</v>
      </c>
      <c r="B43" s="35"/>
    </row>
    <row r="44" spans="1:2" ht="12" customHeight="1" x14ac:dyDescent="0.2">
      <c r="A44" s="210" t="s">
        <v>362</v>
      </c>
      <c r="B44" s="35"/>
    </row>
    <row r="45" spans="1:2" ht="12" customHeight="1" x14ac:dyDescent="0.2">
      <c r="A45" s="217" t="s">
        <v>367</v>
      </c>
      <c r="B45" s="35">
        <f>397643-92320</f>
        <v>305323</v>
      </c>
    </row>
    <row r="46" spans="1:2" ht="12" customHeight="1" x14ac:dyDescent="0.2">
      <c r="A46" s="210" t="s">
        <v>368</v>
      </c>
      <c r="B46" s="35"/>
    </row>
    <row r="47" spans="1:2" ht="12" customHeight="1" x14ac:dyDescent="0.2">
      <c r="A47" s="210" t="s">
        <v>369</v>
      </c>
      <c r="B47" s="35"/>
    </row>
    <row r="48" spans="1:2" ht="12" customHeight="1" x14ac:dyDescent="0.2">
      <c r="A48" s="210" t="s">
        <v>370</v>
      </c>
      <c r="B48" s="35"/>
    </row>
    <row r="49" spans="1:2" ht="12" customHeight="1" x14ac:dyDescent="0.2">
      <c r="A49" s="210" t="s">
        <v>371</v>
      </c>
      <c r="B49" s="35"/>
    </row>
    <row r="50" spans="1:2" ht="12" customHeight="1" x14ac:dyDescent="0.2">
      <c r="A50" s="217" t="s">
        <v>372</v>
      </c>
      <c r="B50" s="35">
        <f>403566-94166</f>
        <v>309400</v>
      </c>
    </row>
    <row r="51" spans="1:2" ht="12" customHeight="1" x14ac:dyDescent="0.2">
      <c r="A51" s="210" t="s">
        <v>373</v>
      </c>
      <c r="B51" s="35"/>
    </row>
    <row r="52" spans="1:2" ht="12" customHeight="1" x14ac:dyDescent="0.2">
      <c r="A52" s="210" t="s">
        <v>374</v>
      </c>
      <c r="B52" s="35"/>
    </row>
    <row r="53" spans="1:2" ht="12" customHeight="1" x14ac:dyDescent="0.2">
      <c r="A53" s="210" t="s">
        <v>375</v>
      </c>
      <c r="B53" s="35"/>
    </row>
    <row r="54" spans="1:2" ht="12" customHeight="1" x14ac:dyDescent="0.2">
      <c r="A54" s="210" t="s">
        <v>371</v>
      </c>
      <c r="B54" s="35"/>
    </row>
    <row r="55" spans="1:2" ht="12" customHeight="1" x14ac:dyDescent="0.2">
      <c r="A55" s="217" t="s">
        <v>376</v>
      </c>
      <c r="B55" s="35">
        <f>409608-96049</f>
        <v>313559</v>
      </c>
    </row>
    <row r="56" spans="1:2" ht="12" customHeight="1" x14ac:dyDescent="0.2">
      <c r="A56" s="210" t="s">
        <v>377</v>
      </c>
      <c r="B56" s="35"/>
    </row>
    <row r="57" spans="1:2" ht="12" customHeight="1" x14ac:dyDescent="0.2">
      <c r="A57" s="210" t="s">
        <v>378</v>
      </c>
      <c r="B57" s="35"/>
    </row>
    <row r="58" spans="1:2" ht="12" customHeight="1" x14ac:dyDescent="0.2">
      <c r="A58" s="210" t="s">
        <v>379</v>
      </c>
      <c r="B58" s="35"/>
    </row>
    <row r="59" spans="1:2" ht="12" customHeight="1" x14ac:dyDescent="0.2">
      <c r="A59" s="210" t="s">
        <v>371</v>
      </c>
      <c r="B59" s="35"/>
    </row>
    <row r="60" spans="1:2" ht="12" customHeight="1" x14ac:dyDescent="0.2">
      <c r="A60" s="217" t="s">
        <v>380</v>
      </c>
      <c r="B60" s="35">
        <f>415771-97970</f>
        <v>317801</v>
      </c>
    </row>
    <row r="61" spans="1:2" ht="12" customHeight="1" x14ac:dyDescent="0.2">
      <c r="A61" s="210" t="s">
        <v>381</v>
      </c>
      <c r="B61" s="35"/>
    </row>
    <row r="62" spans="1:2" ht="12" customHeight="1" x14ac:dyDescent="0.2">
      <c r="A62" s="210" t="s">
        <v>382</v>
      </c>
      <c r="B62" s="35"/>
    </row>
    <row r="63" spans="1:2" ht="12" customHeight="1" x14ac:dyDescent="0.2">
      <c r="A63" s="210" t="s">
        <v>383</v>
      </c>
      <c r="B63" s="35"/>
    </row>
    <row r="64" spans="1:2" ht="12" customHeight="1" x14ac:dyDescent="0.2">
      <c r="A64" s="210" t="s">
        <v>371</v>
      </c>
      <c r="B64" s="35"/>
    </row>
    <row r="65" spans="1:2" ht="12" customHeight="1" x14ac:dyDescent="0.2">
      <c r="A65" s="217" t="s">
        <v>384</v>
      </c>
      <c r="B65" s="35">
        <f>422057-99930</f>
        <v>322127</v>
      </c>
    </row>
    <row r="66" spans="1:2" ht="12" customHeight="1" x14ac:dyDescent="0.2">
      <c r="A66" s="210" t="s">
        <v>385</v>
      </c>
      <c r="B66" s="35"/>
    </row>
    <row r="67" spans="1:2" ht="12" customHeight="1" x14ac:dyDescent="0.2">
      <c r="A67" s="210" t="s">
        <v>386</v>
      </c>
      <c r="B67" s="35"/>
    </row>
    <row r="68" spans="1:2" ht="12" customHeight="1" x14ac:dyDescent="0.2">
      <c r="A68" s="210" t="s">
        <v>387</v>
      </c>
      <c r="B68" s="35"/>
    </row>
    <row r="69" spans="1:2" ht="12" customHeight="1" x14ac:dyDescent="0.2">
      <c r="A69" s="210" t="s">
        <v>371</v>
      </c>
      <c r="B69" s="35"/>
    </row>
    <row r="70" spans="1:2" ht="12" customHeight="1" x14ac:dyDescent="0.2">
      <c r="A70" s="86" t="s">
        <v>388</v>
      </c>
      <c r="B70" s="166">
        <f>SUM(B32:B69)</f>
        <v>2677076</v>
      </c>
    </row>
    <row r="71" spans="1:2" ht="10.5" customHeight="1" x14ac:dyDescent="0.2">
      <c r="A71" s="216"/>
      <c r="B71" s="216"/>
    </row>
    <row r="72" spans="1:2" ht="17.100000000000001" customHeight="1" x14ac:dyDescent="0.25">
      <c r="A72" s="70" t="s">
        <v>389</v>
      </c>
      <c r="B72" s="70">
        <f>+B15+B28+B70</f>
        <v>3503587</v>
      </c>
    </row>
  </sheetData>
  <customSheetViews>
    <customSheetView guid="{2CCC7B39-935D-435C-BB32-70CB41003C82}" showPageBreaks="1">
      <selection activeCell="E12" sqref="E12"/>
      <pageMargins left="0" right="0" top="0" bottom="0" header="0" footer="0"/>
      <printOptions horizontalCentered="1"/>
      <pageSetup scale="99" fitToHeight="69" orientation="portrait" r:id="rId1"/>
      <headerFooter>
        <oddHeader>&amp;L&amp;"-,Bold"Project 25 Radio System&amp;C&amp;"-,Bold"RFP # XXXX&amp;R&amp;"-,Bold"Attachment B - Proposal Pricing Forms</oddHeader>
      </headerFooter>
    </customSheetView>
    <customSheetView guid="{9C902D8C-99B9-4A37-8078-0EB8BCE2A547}">
      <selection activeCell="F34" sqref="F34"/>
      <pageMargins left="0" right="0" top="0" bottom="0" header="0" footer="0"/>
      <printOptions horizontalCentered="1"/>
      <pageSetup scale="99" fitToHeight="69" orientation="portrait" r:id="rId2"/>
      <headerFooter>
        <oddHeader>&amp;L&amp;"-,Bold"Project 25 Radio System&amp;C&amp;"-,Bold"RFP # XXXX&amp;R&amp;"-,Bold"Attachment B - Proposal Pricing Forms</oddHeader>
      </headerFooter>
    </customSheetView>
    <customSheetView guid="{EFF273BD-F73A-4BFF-8940-4E7CE3C7328B}">
      <selection sqref="A1:B1"/>
      <pageMargins left="0" right="0" top="0" bottom="0" header="0" footer="0"/>
      <printOptions horizontalCentered="1"/>
      <pageSetup scale="99" fitToHeight="69" orientation="portrait" r:id="rId3"/>
      <headerFooter>
        <oddHeader>&amp;L&amp;"-,Bold"Project 25 Radio System&amp;C&amp;"-,Bold"RFP # XXXX&amp;R&amp;"-,Bold"Attachment B - Proposal Pricing Forms</oddHeader>
      </headerFooter>
    </customSheetView>
  </customSheetViews>
  <mergeCells count="8">
    <mergeCell ref="A1:B1"/>
    <mergeCell ref="A2:B2"/>
    <mergeCell ref="A30:B30"/>
    <mergeCell ref="A29:B29"/>
    <mergeCell ref="A17:B17"/>
    <mergeCell ref="A16:B16"/>
    <mergeCell ref="A4:B4"/>
    <mergeCell ref="A3:B3"/>
  </mergeCells>
  <printOptions horizontalCentered="1"/>
  <pageMargins left="0.7" right="0.7" top="0.75" bottom="0.75" header="0.3" footer="0.3"/>
  <pageSetup fitToHeight="69" orientation="portrait" r:id="rId4"/>
  <headerFooter>
    <oddHeader>&amp;L&amp;"-,Bold"Nevada Shared Radio System Replacement Project
Washoe County&amp;R&amp;"-,Bold"EX_6_WAS_SOW
Price Schedule_Rev10</oddHeader>
    <oddFooter>&amp;L&amp;"Arial,Regular"Confidential, Proprietary &amp;&amp;
Competition Sensitive&amp;C&amp;G&amp;R&amp;"Arial,Regular"September 17, 2018
Page &amp;P</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G33"/>
  <sheetViews>
    <sheetView topLeftCell="A6" zoomScaleNormal="100" zoomScaleSheetLayoutView="100" workbookViewId="0">
      <selection activeCell="F10" activeCellId="4" sqref="F24 D13 F12 F11 F10"/>
    </sheetView>
  </sheetViews>
  <sheetFormatPr defaultColWidth="9.140625" defaultRowHeight="15" x14ac:dyDescent="0.25"/>
  <cols>
    <col min="1" max="1" width="44.85546875" customWidth="1"/>
    <col min="2" max="2" width="13.42578125" customWidth="1"/>
    <col min="3" max="3" width="7.7109375" style="41" customWidth="1"/>
    <col min="4" max="4" width="16.85546875" bestFit="1" customWidth="1"/>
    <col min="5" max="5" width="10.5703125" style="68" bestFit="1" customWidth="1"/>
    <col min="6" max="6" width="15.7109375" customWidth="1"/>
    <col min="7" max="7" width="10.140625" bestFit="1" customWidth="1"/>
    <col min="8" max="16384" width="9.140625" style="1"/>
  </cols>
  <sheetData>
    <row r="1" spans="1:7" ht="18.75" x14ac:dyDescent="0.2">
      <c r="A1" s="220" t="s">
        <v>390</v>
      </c>
      <c r="B1" s="220"/>
      <c r="C1" s="220"/>
      <c r="D1" s="220"/>
      <c r="E1" s="220"/>
      <c r="F1" s="220"/>
      <c r="G1" s="1"/>
    </row>
    <row r="2" spans="1:7" ht="49.35" customHeight="1" x14ac:dyDescent="0.2">
      <c r="A2" s="250" t="s">
        <v>391</v>
      </c>
      <c r="B2" s="250"/>
      <c r="C2" s="250"/>
      <c r="D2" s="250"/>
      <c r="E2" s="250"/>
      <c r="F2" s="250"/>
      <c r="G2" s="1"/>
    </row>
    <row r="3" spans="1:7" ht="18.75" x14ac:dyDescent="0.3">
      <c r="A3" s="280" t="s">
        <v>392</v>
      </c>
      <c r="B3" s="280"/>
      <c r="C3" s="280"/>
      <c r="D3" s="280"/>
      <c r="E3" s="280"/>
      <c r="F3" s="280"/>
    </row>
    <row r="4" spans="1:7" ht="30" x14ac:dyDescent="0.25">
      <c r="A4" s="72" t="s">
        <v>158</v>
      </c>
      <c r="B4" s="72" t="s">
        <v>94</v>
      </c>
      <c r="C4" s="73" t="s">
        <v>95</v>
      </c>
      <c r="D4" s="72" t="s">
        <v>96</v>
      </c>
      <c r="E4" s="74" t="s">
        <v>97</v>
      </c>
      <c r="F4" s="72" t="s">
        <v>4</v>
      </c>
    </row>
    <row r="5" spans="1:7" ht="45" x14ac:dyDescent="0.25">
      <c r="A5" s="183" t="s">
        <v>393</v>
      </c>
      <c r="B5" s="169">
        <v>58500</v>
      </c>
      <c r="C5" s="195">
        <v>1</v>
      </c>
      <c r="D5" s="169">
        <f t="shared" ref="D5" si="0">SUM(B5*C5)</f>
        <v>58500</v>
      </c>
      <c r="E5" s="171">
        <v>0.26</v>
      </c>
      <c r="F5" s="169">
        <f t="shared" ref="F5:F10" si="1">D5-D5*E5</f>
        <v>43290</v>
      </c>
    </row>
    <row r="6" spans="1:7" ht="45" x14ac:dyDescent="0.25">
      <c r="A6" s="183" t="s">
        <v>394</v>
      </c>
      <c r="B6" s="169">
        <v>58500</v>
      </c>
      <c r="C6" s="195">
        <v>2</v>
      </c>
      <c r="D6" s="169">
        <f t="shared" ref="D6:D9" si="2">SUM(B6*C6)</f>
        <v>117000</v>
      </c>
      <c r="E6" s="171">
        <v>0.26</v>
      </c>
      <c r="F6" s="169">
        <f t="shared" si="1"/>
        <v>86580</v>
      </c>
    </row>
    <row r="7" spans="1:7" ht="45" customHeight="1" x14ac:dyDescent="0.25">
      <c r="A7" s="183" t="s">
        <v>395</v>
      </c>
      <c r="B7" s="169">
        <v>58500</v>
      </c>
      <c r="C7" s="195">
        <v>1</v>
      </c>
      <c r="D7" s="169">
        <f t="shared" si="2"/>
        <v>58500</v>
      </c>
      <c r="E7" s="171">
        <v>0.26</v>
      </c>
      <c r="F7" s="169">
        <f t="shared" si="1"/>
        <v>43290</v>
      </c>
    </row>
    <row r="8" spans="1:7" ht="45" x14ac:dyDescent="0.25">
      <c r="A8" s="183" t="s">
        <v>396</v>
      </c>
      <c r="B8" s="169">
        <v>58500</v>
      </c>
      <c r="C8" s="195">
        <v>6</v>
      </c>
      <c r="D8" s="169">
        <f t="shared" si="2"/>
        <v>351000</v>
      </c>
      <c r="E8" s="171">
        <v>0.26</v>
      </c>
      <c r="F8" s="169">
        <f t="shared" si="1"/>
        <v>259740</v>
      </c>
    </row>
    <row r="9" spans="1:7" ht="45" x14ac:dyDescent="0.25">
      <c r="A9" s="183" t="s">
        <v>397</v>
      </c>
      <c r="B9" s="169">
        <v>58500</v>
      </c>
      <c r="C9" s="195">
        <v>2</v>
      </c>
      <c r="D9" s="169">
        <f t="shared" si="2"/>
        <v>117000</v>
      </c>
      <c r="E9" s="171">
        <v>0.26</v>
      </c>
      <c r="F9" s="169">
        <f t="shared" si="1"/>
        <v>86580</v>
      </c>
    </row>
    <row r="10" spans="1:7" x14ac:dyDescent="0.25">
      <c r="A10" s="183"/>
      <c r="B10" s="194">
        <v>8140.45</v>
      </c>
      <c r="C10" s="195">
        <v>7</v>
      </c>
      <c r="D10" s="169">
        <f t="shared" ref="D10" si="3">SUM(B10*C10)</f>
        <v>56983.15</v>
      </c>
      <c r="E10" s="171">
        <v>0.26</v>
      </c>
      <c r="F10" s="169">
        <f t="shared" si="1"/>
        <v>42167.531000000003</v>
      </c>
      <c r="G10" s="212">
        <f>F10/C10</f>
        <v>6023.933</v>
      </c>
    </row>
    <row r="11" spans="1:7" x14ac:dyDescent="0.25">
      <c r="A11" s="75" t="s">
        <v>398</v>
      </c>
      <c r="B11" s="194">
        <v>178844.85</v>
      </c>
      <c r="C11" s="195">
        <v>1</v>
      </c>
      <c r="D11" s="194">
        <f t="shared" ref="D11:D17" si="4">SUM(B11*C11)</f>
        <v>178844.85</v>
      </c>
      <c r="E11" s="171">
        <v>0</v>
      </c>
      <c r="F11" s="169">
        <f t="shared" ref="F11:F17" si="5">D11-D11*E11</f>
        <v>178844.85</v>
      </c>
    </row>
    <row r="12" spans="1:7" x14ac:dyDescent="0.25">
      <c r="A12" s="75" t="s">
        <v>399</v>
      </c>
      <c r="B12" s="194">
        <v>71977.009999999995</v>
      </c>
      <c r="C12" s="195">
        <v>1</v>
      </c>
      <c r="D12" s="194">
        <f t="shared" ref="D12" si="6">SUM(B12*C12)</f>
        <v>71977.009999999995</v>
      </c>
      <c r="E12" s="171">
        <v>0</v>
      </c>
      <c r="F12" s="169">
        <f t="shared" ref="F12" si="7">D12-D12*E12</f>
        <v>71977.009999999995</v>
      </c>
    </row>
    <row r="13" spans="1:7" x14ac:dyDescent="0.25">
      <c r="A13" s="75" t="s">
        <v>400</v>
      </c>
      <c r="B13" s="204">
        <v>3020</v>
      </c>
      <c r="C13" s="205">
        <v>12</v>
      </c>
      <c r="D13" s="57">
        <f t="shared" ref="D13" si="8">SUM(B13*C13)</f>
        <v>36240</v>
      </c>
      <c r="E13" s="77">
        <v>1</v>
      </c>
      <c r="F13" s="57">
        <f t="shared" ref="F13" si="9">D13-D13*E13</f>
        <v>0</v>
      </c>
    </row>
    <row r="14" spans="1:7" x14ac:dyDescent="0.25">
      <c r="A14" s="75"/>
      <c r="B14" s="57"/>
      <c r="C14" s="76"/>
      <c r="D14" s="57">
        <f t="shared" si="4"/>
        <v>0</v>
      </c>
      <c r="E14" s="77"/>
      <c r="F14" s="57">
        <f t="shared" si="5"/>
        <v>0</v>
      </c>
    </row>
    <row r="15" spans="1:7" x14ac:dyDescent="0.25">
      <c r="A15" s="75"/>
      <c r="B15" s="57"/>
      <c r="C15" s="76"/>
      <c r="D15" s="57">
        <f t="shared" si="4"/>
        <v>0</v>
      </c>
      <c r="E15" s="77"/>
      <c r="F15" s="57">
        <f t="shared" si="5"/>
        <v>0</v>
      </c>
    </row>
    <row r="16" spans="1:7" x14ac:dyDescent="0.25">
      <c r="A16" s="75"/>
      <c r="B16" s="57"/>
      <c r="C16" s="76"/>
      <c r="D16" s="57">
        <f t="shared" si="4"/>
        <v>0</v>
      </c>
      <c r="E16" s="77"/>
      <c r="F16" s="57">
        <f t="shared" si="5"/>
        <v>0</v>
      </c>
    </row>
    <row r="17" spans="1:7" x14ac:dyDescent="0.25">
      <c r="A17" s="75"/>
      <c r="B17" s="57"/>
      <c r="C17" s="76"/>
      <c r="D17" s="57">
        <f t="shared" si="4"/>
        <v>0</v>
      </c>
      <c r="E17" s="77"/>
      <c r="F17" s="57">
        <f t="shared" si="5"/>
        <v>0</v>
      </c>
    </row>
    <row r="18" spans="1:7" ht="15.75" customHeight="1" x14ac:dyDescent="0.25">
      <c r="A18" s="275" t="s">
        <v>401</v>
      </c>
      <c r="B18" s="275"/>
      <c r="C18" s="275"/>
      <c r="D18" s="275"/>
      <c r="E18" s="275"/>
      <c r="F18" s="70">
        <f>SUM(F5:F17)</f>
        <v>812469.39099999995</v>
      </c>
    </row>
    <row r="19" spans="1:7" ht="18.75" customHeight="1" x14ac:dyDescent="0.3">
      <c r="A19" s="276" t="s">
        <v>402</v>
      </c>
      <c r="B19" s="276"/>
      <c r="C19" s="276"/>
      <c r="D19" s="276"/>
      <c r="E19" s="276"/>
      <c r="F19" s="276"/>
    </row>
    <row r="20" spans="1:7" ht="36.75" customHeight="1" x14ac:dyDescent="0.25">
      <c r="A20" s="279" t="s">
        <v>403</v>
      </c>
      <c r="B20" s="279"/>
      <c r="C20" s="279"/>
      <c r="D20" s="279"/>
      <c r="E20" s="279"/>
      <c r="F20" s="279"/>
    </row>
    <row r="21" spans="1:7" ht="32.25" customHeight="1" x14ac:dyDescent="0.25">
      <c r="A21" s="278" t="s">
        <v>404</v>
      </c>
      <c r="B21" s="278"/>
      <c r="C21" s="278"/>
      <c r="D21" s="278"/>
      <c r="E21" s="278"/>
      <c r="F21" s="278"/>
    </row>
    <row r="22" spans="1:7" ht="18.75" customHeight="1" x14ac:dyDescent="0.3">
      <c r="A22" s="276" t="s">
        <v>405</v>
      </c>
      <c r="B22" s="276"/>
      <c r="C22" s="276"/>
      <c r="D22" s="276"/>
      <c r="E22" s="276"/>
      <c r="F22" s="276"/>
    </row>
    <row r="23" spans="1:7" ht="15.75" customHeight="1" x14ac:dyDescent="0.25">
      <c r="A23" s="277" t="s">
        <v>253</v>
      </c>
      <c r="B23" s="277"/>
      <c r="C23" s="277"/>
      <c r="D23" s="277"/>
      <c r="E23" s="215" t="s">
        <v>406</v>
      </c>
      <c r="F23" s="215" t="s">
        <v>407</v>
      </c>
      <c r="G23" s="49"/>
    </row>
    <row r="24" spans="1:7" ht="12.75" x14ac:dyDescent="0.2">
      <c r="A24" s="274" t="s">
        <v>408</v>
      </c>
      <c r="B24" s="274"/>
      <c r="C24" s="274"/>
      <c r="D24" s="274"/>
      <c r="E24" s="178" t="s">
        <v>409</v>
      </c>
      <c r="F24" s="63">
        <v>22000</v>
      </c>
      <c r="G24" s="1"/>
    </row>
    <row r="25" spans="1:7" ht="12.75" x14ac:dyDescent="0.2">
      <c r="A25" s="274" t="s">
        <v>410</v>
      </c>
      <c r="B25" s="274"/>
      <c r="C25" s="274"/>
      <c r="D25" s="274"/>
      <c r="E25" s="85"/>
      <c r="F25" s="63"/>
      <c r="G25" s="1"/>
    </row>
    <row r="26" spans="1:7" x14ac:dyDescent="0.25">
      <c r="A26" s="274" t="s">
        <v>411</v>
      </c>
      <c r="B26" s="274"/>
      <c r="C26" s="274"/>
      <c r="D26" s="274"/>
      <c r="E26" s="85"/>
      <c r="F26" s="63"/>
    </row>
    <row r="27" spans="1:7" x14ac:dyDescent="0.25">
      <c r="A27" s="274" t="s">
        <v>412</v>
      </c>
      <c r="B27" s="274"/>
      <c r="C27" s="274"/>
      <c r="D27" s="274"/>
      <c r="E27" s="85"/>
      <c r="F27" s="63"/>
    </row>
    <row r="28" spans="1:7" x14ac:dyDescent="0.25">
      <c r="A28" s="274" t="s">
        <v>413</v>
      </c>
      <c r="B28" s="274"/>
      <c r="C28" s="274"/>
      <c r="D28" s="274"/>
      <c r="E28" s="85"/>
      <c r="F28" s="63"/>
    </row>
    <row r="29" spans="1:7" x14ac:dyDescent="0.25">
      <c r="A29" s="274"/>
      <c r="B29" s="274"/>
      <c r="C29" s="274"/>
      <c r="D29" s="274"/>
      <c r="E29" s="85"/>
      <c r="F29" s="63"/>
    </row>
    <row r="30" spans="1:7" x14ac:dyDescent="0.25">
      <c r="A30" s="274"/>
      <c r="B30" s="274"/>
      <c r="C30" s="274"/>
      <c r="D30" s="274"/>
      <c r="E30" s="85"/>
      <c r="F30" s="63"/>
    </row>
    <row r="31" spans="1:7" ht="15.75" customHeight="1" x14ac:dyDescent="0.25">
      <c r="A31" s="275" t="s">
        <v>414</v>
      </c>
      <c r="B31" s="275"/>
      <c r="C31" s="275"/>
      <c r="D31" s="275"/>
      <c r="E31" s="275"/>
      <c r="F31" s="167">
        <f>SUM(F24:F30)</f>
        <v>22000</v>
      </c>
    </row>
    <row r="33" spans="1:6" ht="15.6" customHeight="1" x14ac:dyDescent="0.25">
      <c r="A33" s="275" t="s">
        <v>415</v>
      </c>
      <c r="B33" s="275"/>
      <c r="C33" s="275"/>
      <c r="D33" s="275"/>
      <c r="E33" s="275"/>
      <c r="F33" s="167">
        <f>+F18+F31</f>
        <v>834469.39099999995</v>
      </c>
    </row>
  </sheetData>
  <customSheetViews>
    <customSheetView guid="{2CCC7B39-935D-435C-BB32-70CB41003C82}" showPageBreaks="1">
      <selection activeCell="F3" sqref="F3"/>
      <rowBreaks count="1" manualBreakCount="1">
        <brk id="107" max="16383" man="1"/>
      </rowBreaks>
      <pageMargins left="0" right="0" top="0" bottom="0" header="0" footer="0"/>
      <printOptions horizontalCentered="1"/>
      <pageSetup scale="99" fitToHeight="6" orientation="portrait" r:id="rId1"/>
      <headerFooter>
        <oddHeader>&amp;L&amp;"-,Bold"Project 25 Radio System&amp;C&amp;"-,Bold"RFP # XXXX&amp;R&amp;"-,Bold"Attachment B - Proposal Pricing Forms</oddHeader>
      </headerFooter>
    </customSheetView>
    <customSheetView guid="{9C902D8C-99B9-4A37-8078-0EB8BCE2A547}">
      <selection activeCell="F3" sqref="F3"/>
      <rowBreaks count="1" manualBreakCount="1">
        <brk id="107" max="16383" man="1"/>
      </rowBreaks>
      <pageMargins left="0" right="0" top="0" bottom="0" header="0" footer="0"/>
      <printOptions horizontalCentered="1"/>
      <pageSetup scale="99" fitToHeight="6" orientation="portrait" r:id="rId2"/>
      <headerFooter>
        <oddHeader>&amp;L&amp;"-,Bold"Project 25 Radio System&amp;C&amp;"-,Bold"RFP # XXXX&amp;R&amp;"-,Bold"Attachment B - Proposal Pricing Forms</oddHeader>
      </headerFooter>
    </customSheetView>
    <customSheetView guid="{EFF273BD-F73A-4BFF-8940-4E7CE3C7328B}">
      <selection sqref="A1:C1"/>
      <rowBreaks count="1" manualBreakCount="1">
        <brk id="107" max="16383" man="1"/>
      </rowBreaks>
      <pageMargins left="0" right="0" top="0" bottom="0" header="0" footer="0"/>
      <printOptions horizontalCentered="1"/>
      <pageSetup scale="99" fitToHeight="6" orientation="portrait" r:id="rId3"/>
      <headerFooter>
        <oddHeader>&amp;L&amp;"-,Bold"Project 25 Radio System&amp;C&amp;"-,Bold"RFP # XXXX&amp;R&amp;"-,Bold"Attachment B - Proposal Pricing Forms</oddHeader>
      </headerFooter>
    </customSheetView>
  </customSheetViews>
  <mergeCells count="18">
    <mergeCell ref="A21:F21"/>
    <mergeCell ref="A1:F1"/>
    <mergeCell ref="A2:F2"/>
    <mergeCell ref="A19:F19"/>
    <mergeCell ref="A20:F20"/>
    <mergeCell ref="A3:F3"/>
    <mergeCell ref="A18:E18"/>
    <mergeCell ref="A22:F22"/>
    <mergeCell ref="A23:D23"/>
    <mergeCell ref="A24:D24"/>
    <mergeCell ref="A25:D25"/>
    <mergeCell ref="A26:D26"/>
    <mergeCell ref="A27:D27"/>
    <mergeCell ref="A28:D28"/>
    <mergeCell ref="A29:D29"/>
    <mergeCell ref="A33:E33"/>
    <mergeCell ref="A30:D30"/>
    <mergeCell ref="A31:E31"/>
  </mergeCells>
  <printOptions horizontalCentered="1"/>
  <pageMargins left="0.7" right="0.7" top="0.75" bottom="0.75" header="0.3" footer="0.3"/>
  <pageSetup scale="83" fitToHeight="6" orientation="portrait" r:id="rId4"/>
  <headerFooter>
    <oddHeader>&amp;L&amp;"-,Bold"Nevada Shared Radio System Replacement Project
Washoe County&amp;R&amp;"-,Bold"EX_6_WAS_SOW
Price Schedule_Rev10</oddHeader>
    <oddFooter>&amp;L&amp;"Arial,Regular"Confidential, Proprietary &amp;&amp;
Competition Sensitive&amp;C&amp;G&amp;R&amp;"Arial,Regular"September 17, 2018
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G129"/>
  <sheetViews>
    <sheetView view="pageBreakPreview" zoomScale="60" zoomScaleNormal="90" workbookViewId="0">
      <selection sqref="A1:F187"/>
    </sheetView>
  </sheetViews>
  <sheetFormatPr defaultColWidth="9.140625" defaultRowHeight="15" x14ac:dyDescent="0.25"/>
  <cols>
    <col min="1" max="1" width="44.85546875" customWidth="1"/>
    <col min="2" max="2" width="14.42578125" customWidth="1"/>
    <col min="3" max="3" width="8" style="41" customWidth="1"/>
    <col min="4" max="4" width="16.85546875" bestFit="1" customWidth="1"/>
    <col min="5" max="5" width="10.5703125" style="68" bestFit="1" customWidth="1"/>
    <col min="6" max="6" width="16.85546875" bestFit="1" customWidth="1"/>
    <col min="8" max="16384" width="9.140625" style="1"/>
  </cols>
  <sheetData>
    <row r="1" spans="1:7" ht="18.75" x14ac:dyDescent="0.2">
      <c r="A1" s="220" t="s">
        <v>416</v>
      </c>
      <c r="B1" s="220"/>
      <c r="C1" s="220"/>
      <c r="D1" s="220"/>
      <c r="E1" s="220"/>
      <c r="F1" s="220"/>
      <c r="G1" s="1"/>
    </row>
    <row r="2" spans="1:7" ht="144" customHeight="1" x14ac:dyDescent="0.2">
      <c r="A2" s="288" t="s">
        <v>417</v>
      </c>
      <c r="B2" s="288"/>
      <c r="C2" s="288"/>
      <c r="D2" s="288"/>
      <c r="E2" s="288"/>
      <c r="F2" s="288"/>
      <c r="G2" s="1"/>
    </row>
    <row r="3" spans="1:7" ht="18.75" customHeight="1" x14ac:dyDescent="0.3">
      <c r="A3" s="280" t="s">
        <v>418</v>
      </c>
      <c r="B3" s="280"/>
      <c r="C3" s="280"/>
      <c r="D3" s="280"/>
      <c r="E3" s="280"/>
      <c r="F3" s="280"/>
      <c r="G3" s="79"/>
    </row>
    <row r="4" spans="1:7" ht="51.6" customHeight="1" x14ac:dyDescent="0.25">
      <c r="A4" s="72" t="s">
        <v>158</v>
      </c>
      <c r="B4" s="72" t="s">
        <v>94</v>
      </c>
      <c r="C4" s="73" t="s">
        <v>95</v>
      </c>
      <c r="D4" s="72" t="s">
        <v>96</v>
      </c>
      <c r="E4" s="74" t="s">
        <v>97</v>
      </c>
      <c r="F4" s="72" t="s">
        <v>4</v>
      </c>
      <c r="G4" s="1"/>
    </row>
    <row r="5" spans="1:7" s="34" customFormat="1" ht="30" x14ac:dyDescent="0.25">
      <c r="A5" s="75" t="s">
        <v>419</v>
      </c>
      <c r="B5" s="57"/>
      <c r="C5" s="76">
        <v>25</v>
      </c>
      <c r="D5" s="57">
        <f t="shared" ref="D5:D10" si="0">SUM(B5*C5)</f>
        <v>0</v>
      </c>
      <c r="E5" s="77"/>
      <c r="F5" s="57">
        <f t="shared" ref="F5:F25" si="1">D5-D5*E5</f>
        <v>0</v>
      </c>
      <c r="G5"/>
    </row>
    <row r="6" spans="1:7" x14ac:dyDescent="0.25">
      <c r="A6" s="75" t="s">
        <v>420</v>
      </c>
      <c r="B6" s="57"/>
      <c r="C6" s="76">
        <v>134</v>
      </c>
      <c r="D6" s="57">
        <f t="shared" si="0"/>
        <v>0</v>
      </c>
      <c r="E6" s="77"/>
      <c r="F6" s="57">
        <f t="shared" si="1"/>
        <v>0</v>
      </c>
    </row>
    <row r="7" spans="1:7" ht="30" x14ac:dyDescent="0.25">
      <c r="A7" s="75" t="s">
        <v>421</v>
      </c>
      <c r="B7" s="57"/>
      <c r="C7" s="76">
        <v>32</v>
      </c>
      <c r="D7" s="57">
        <f t="shared" si="0"/>
        <v>0</v>
      </c>
      <c r="E7" s="77"/>
      <c r="F7" s="57">
        <f t="shared" si="1"/>
        <v>0</v>
      </c>
    </row>
    <row r="8" spans="1:7" ht="30" x14ac:dyDescent="0.25">
      <c r="A8" s="75" t="s">
        <v>422</v>
      </c>
      <c r="B8" s="57"/>
      <c r="C8" s="76">
        <v>173</v>
      </c>
      <c r="D8" s="57">
        <f t="shared" si="0"/>
        <v>0</v>
      </c>
      <c r="E8" s="77"/>
      <c r="F8" s="57">
        <f t="shared" si="1"/>
        <v>0</v>
      </c>
    </row>
    <row r="9" spans="1:7" ht="30" x14ac:dyDescent="0.25">
      <c r="A9" s="75" t="s">
        <v>423</v>
      </c>
      <c r="B9" s="57"/>
      <c r="C9" s="76">
        <v>0</v>
      </c>
      <c r="D9" s="57">
        <f t="shared" si="0"/>
        <v>0</v>
      </c>
      <c r="E9" s="77"/>
      <c r="F9" s="57">
        <f t="shared" si="1"/>
        <v>0</v>
      </c>
    </row>
    <row r="10" spans="1:7" ht="30" x14ac:dyDescent="0.25">
      <c r="A10" s="75" t="s">
        <v>424</v>
      </c>
      <c r="B10" s="57"/>
      <c r="C10" s="76">
        <v>3</v>
      </c>
      <c r="D10" s="57">
        <f t="shared" si="0"/>
        <v>0</v>
      </c>
      <c r="E10" s="77"/>
      <c r="F10" s="57">
        <f t="shared" si="1"/>
        <v>0</v>
      </c>
    </row>
    <row r="11" spans="1:7" s="34" customFormat="1" ht="30" x14ac:dyDescent="0.25">
      <c r="A11" s="75" t="s">
        <v>425</v>
      </c>
      <c r="B11" s="57"/>
      <c r="C11" s="76">
        <v>269</v>
      </c>
      <c r="D11" s="57">
        <f t="shared" ref="D11:D16" si="2">SUM(B11*C11)</f>
        <v>0</v>
      </c>
      <c r="E11" s="77"/>
      <c r="F11" s="57">
        <f t="shared" ref="F11:F16" si="3">D11-D11*E11</f>
        <v>0</v>
      </c>
      <c r="G11"/>
    </row>
    <row r="12" spans="1:7" x14ac:dyDescent="0.25">
      <c r="A12" s="75" t="s">
        <v>426</v>
      </c>
      <c r="B12" s="57"/>
      <c r="C12" s="76">
        <v>1454</v>
      </c>
      <c r="D12" s="57">
        <f t="shared" si="2"/>
        <v>0</v>
      </c>
      <c r="E12" s="77"/>
      <c r="F12" s="57">
        <f t="shared" si="3"/>
        <v>0</v>
      </c>
    </row>
    <row r="13" spans="1:7" ht="30" x14ac:dyDescent="0.25">
      <c r="A13" s="75" t="s">
        <v>427</v>
      </c>
      <c r="B13" s="57"/>
      <c r="C13" s="76">
        <v>228</v>
      </c>
      <c r="D13" s="57">
        <f t="shared" si="2"/>
        <v>0</v>
      </c>
      <c r="E13" s="77"/>
      <c r="F13" s="57">
        <f t="shared" si="3"/>
        <v>0</v>
      </c>
    </row>
    <row r="14" spans="1:7" ht="30" x14ac:dyDescent="0.25">
      <c r="A14" s="75" t="s">
        <v>428</v>
      </c>
      <c r="B14" s="57"/>
      <c r="C14" s="76">
        <v>1232</v>
      </c>
      <c r="D14" s="57">
        <f t="shared" si="2"/>
        <v>0</v>
      </c>
      <c r="E14" s="77"/>
      <c r="F14" s="57">
        <f t="shared" si="3"/>
        <v>0</v>
      </c>
    </row>
    <row r="15" spans="1:7" ht="30" x14ac:dyDescent="0.25">
      <c r="A15" s="75" t="s">
        <v>429</v>
      </c>
      <c r="B15" s="57"/>
      <c r="C15" s="76">
        <v>19</v>
      </c>
      <c r="D15" s="57">
        <f t="shared" si="2"/>
        <v>0</v>
      </c>
      <c r="E15" s="77"/>
      <c r="F15" s="57">
        <f t="shared" si="3"/>
        <v>0</v>
      </c>
    </row>
    <row r="16" spans="1:7" ht="30" x14ac:dyDescent="0.25">
      <c r="A16" s="75" t="s">
        <v>430</v>
      </c>
      <c r="B16" s="57"/>
      <c r="C16" s="76">
        <v>103</v>
      </c>
      <c r="D16" s="57">
        <f t="shared" si="2"/>
        <v>0</v>
      </c>
      <c r="E16" s="77"/>
      <c r="F16" s="57">
        <f t="shared" si="3"/>
        <v>0</v>
      </c>
    </row>
    <row r="17" spans="1:7" s="34" customFormat="1" ht="30" x14ac:dyDescent="0.25">
      <c r="A17" s="75" t="s">
        <v>431</v>
      </c>
      <c r="B17" s="57"/>
      <c r="C17" s="76">
        <v>202</v>
      </c>
      <c r="D17" s="57">
        <f t="shared" ref="D17:D22" si="4">SUM(B17*C17)</f>
        <v>0</v>
      </c>
      <c r="E17" s="77"/>
      <c r="F17" s="57">
        <f t="shared" ref="F17:F22" si="5">D17-D17*E17</f>
        <v>0</v>
      </c>
      <c r="G17"/>
    </row>
    <row r="18" spans="1:7" ht="30" x14ac:dyDescent="0.25">
      <c r="A18" s="75" t="s">
        <v>432</v>
      </c>
      <c r="B18" s="57"/>
      <c r="C18" s="76">
        <v>1096</v>
      </c>
      <c r="D18" s="57">
        <f t="shared" si="4"/>
        <v>0</v>
      </c>
      <c r="E18" s="77"/>
      <c r="F18" s="57">
        <f t="shared" si="5"/>
        <v>0</v>
      </c>
    </row>
    <row r="19" spans="1:7" ht="30" x14ac:dyDescent="0.25">
      <c r="A19" s="75" t="s">
        <v>433</v>
      </c>
      <c r="B19" s="57"/>
      <c r="C19" s="76">
        <v>259</v>
      </c>
      <c r="D19" s="57">
        <f t="shared" si="4"/>
        <v>0</v>
      </c>
      <c r="E19" s="77"/>
      <c r="F19" s="57">
        <f t="shared" si="5"/>
        <v>0</v>
      </c>
    </row>
    <row r="20" spans="1:7" ht="30" x14ac:dyDescent="0.25">
      <c r="A20" s="75" t="s">
        <v>434</v>
      </c>
      <c r="B20" s="57"/>
      <c r="C20" s="76">
        <v>1401</v>
      </c>
      <c r="D20" s="57">
        <f t="shared" si="4"/>
        <v>0</v>
      </c>
      <c r="E20" s="77"/>
      <c r="F20" s="57">
        <f t="shared" si="5"/>
        <v>0</v>
      </c>
    </row>
    <row r="21" spans="1:7" ht="30" x14ac:dyDescent="0.25">
      <c r="A21" s="75" t="s">
        <v>435</v>
      </c>
      <c r="B21" s="57"/>
      <c r="C21" s="76">
        <v>10</v>
      </c>
      <c r="D21" s="57">
        <f t="shared" si="4"/>
        <v>0</v>
      </c>
      <c r="E21" s="77"/>
      <c r="F21" s="57">
        <f t="shared" si="5"/>
        <v>0</v>
      </c>
    </row>
    <row r="22" spans="1:7" ht="30" x14ac:dyDescent="0.25">
      <c r="A22" s="75" t="s">
        <v>436</v>
      </c>
      <c r="B22" s="57"/>
      <c r="C22" s="76">
        <v>57</v>
      </c>
      <c r="D22" s="57">
        <f t="shared" si="4"/>
        <v>0</v>
      </c>
      <c r="E22" s="77"/>
      <c r="F22" s="57">
        <f t="shared" si="5"/>
        <v>0</v>
      </c>
    </row>
    <row r="23" spans="1:7" x14ac:dyDescent="0.25">
      <c r="A23" s="75"/>
      <c r="B23" s="57"/>
      <c r="C23" s="76"/>
      <c r="D23" s="57">
        <f t="shared" ref="D23:D25" si="6">SUM(B23*C23)</f>
        <v>0</v>
      </c>
      <c r="E23" s="77"/>
      <c r="F23" s="57">
        <f t="shared" si="1"/>
        <v>0</v>
      </c>
    </row>
    <row r="24" spans="1:7" x14ac:dyDescent="0.25">
      <c r="A24" s="75"/>
      <c r="B24" s="57"/>
      <c r="C24" s="76"/>
      <c r="D24" s="57">
        <f t="shared" si="6"/>
        <v>0</v>
      </c>
      <c r="E24" s="77"/>
      <c r="F24" s="57">
        <f t="shared" si="1"/>
        <v>0</v>
      </c>
    </row>
    <row r="25" spans="1:7" x14ac:dyDescent="0.25">
      <c r="A25" s="75"/>
      <c r="B25" s="57"/>
      <c r="C25" s="76"/>
      <c r="D25" s="57">
        <f t="shared" si="6"/>
        <v>0</v>
      </c>
      <c r="E25" s="77"/>
      <c r="F25" s="57">
        <f t="shared" si="1"/>
        <v>0</v>
      </c>
    </row>
    <row r="26" spans="1:7" ht="15.75" x14ac:dyDescent="0.25">
      <c r="A26" s="275" t="s">
        <v>437</v>
      </c>
      <c r="B26" s="275"/>
      <c r="C26" s="275"/>
      <c r="D26" s="275"/>
      <c r="E26" s="275"/>
      <c r="F26" s="70">
        <f>SUM(F5:F25)</f>
        <v>0</v>
      </c>
    </row>
    <row r="27" spans="1:7" ht="18.75" x14ac:dyDescent="0.3">
      <c r="A27" s="280" t="s">
        <v>438</v>
      </c>
      <c r="B27" s="280"/>
      <c r="C27" s="280"/>
      <c r="D27" s="280"/>
      <c r="E27" s="280"/>
      <c r="F27" s="280"/>
    </row>
    <row r="28" spans="1:7" ht="30" x14ac:dyDescent="0.25">
      <c r="A28" s="72" t="s">
        <v>158</v>
      </c>
      <c r="B28" s="72" t="s">
        <v>94</v>
      </c>
      <c r="C28" s="73" t="s">
        <v>95</v>
      </c>
      <c r="D28" s="72" t="s">
        <v>96</v>
      </c>
      <c r="E28" s="74" t="s">
        <v>97</v>
      </c>
      <c r="F28" s="72" t="s">
        <v>4</v>
      </c>
    </row>
    <row r="29" spans="1:7" s="34" customFormat="1" ht="30" x14ac:dyDescent="0.25">
      <c r="A29" s="75" t="s">
        <v>419</v>
      </c>
      <c r="B29" s="57"/>
      <c r="C29" s="76">
        <v>0</v>
      </c>
      <c r="D29" s="57">
        <f t="shared" ref="D29:D46" si="7">SUM(B29*C29)</f>
        <v>0</v>
      </c>
      <c r="E29" s="77"/>
      <c r="F29" s="57">
        <f t="shared" ref="F29:F49" si="8">D29-D29*E29</f>
        <v>0</v>
      </c>
      <c r="G29"/>
    </row>
    <row r="30" spans="1:7" x14ac:dyDescent="0.25">
      <c r="A30" s="75" t="s">
        <v>420</v>
      </c>
      <c r="B30" s="57"/>
      <c r="C30" s="76">
        <v>0</v>
      </c>
      <c r="D30" s="57">
        <f t="shared" si="7"/>
        <v>0</v>
      </c>
      <c r="E30" s="77"/>
      <c r="F30" s="57">
        <f t="shared" si="8"/>
        <v>0</v>
      </c>
    </row>
    <row r="31" spans="1:7" ht="30" x14ac:dyDescent="0.25">
      <c r="A31" s="75" t="s">
        <v>421</v>
      </c>
      <c r="B31" s="57"/>
      <c r="C31" s="76">
        <v>0</v>
      </c>
      <c r="D31" s="57">
        <f t="shared" si="7"/>
        <v>0</v>
      </c>
      <c r="E31" s="77"/>
      <c r="F31" s="57">
        <f t="shared" si="8"/>
        <v>0</v>
      </c>
    </row>
    <row r="32" spans="1:7" ht="30" x14ac:dyDescent="0.25">
      <c r="A32" s="75" t="s">
        <v>422</v>
      </c>
      <c r="B32" s="57"/>
      <c r="C32" s="76">
        <v>0</v>
      </c>
      <c r="D32" s="57">
        <f t="shared" si="7"/>
        <v>0</v>
      </c>
      <c r="E32" s="77"/>
      <c r="F32" s="57">
        <f t="shared" si="8"/>
        <v>0</v>
      </c>
    </row>
    <row r="33" spans="1:7" ht="30" x14ac:dyDescent="0.25">
      <c r="A33" s="75" t="s">
        <v>423</v>
      </c>
      <c r="B33" s="57"/>
      <c r="C33" s="76">
        <v>0</v>
      </c>
      <c r="D33" s="57">
        <f t="shared" si="7"/>
        <v>0</v>
      </c>
      <c r="E33" s="77"/>
      <c r="F33" s="57">
        <f t="shared" si="8"/>
        <v>0</v>
      </c>
    </row>
    <row r="34" spans="1:7" ht="30" x14ac:dyDescent="0.25">
      <c r="A34" s="75" t="s">
        <v>424</v>
      </c>
      <c r="B34" s="57"/>
      <c r="C34" s="76">
        <v>0</v>
      </c>
      <c r="D34" s="57">
        <f t="shared" si="7"/>
        <v>0</v>
      </c>
      <c r="E34" s="77"/>
      <c r="F34" s="57">
        <f t="shared" si="8"/>
        <v>0</v>
      </c>
    </row>
    <row r="35" spans="1:7" s="34" customFormat="1" ht="30" x14ac:dyDescent="0.25">
      <c r="A35" s="75" t="s">
        <v>425</v>
      </c>
      <c r="B35" s="57"/>
      <c r="C35" s="76">
        <v>80</v>
      </c>
      <c r="D35" s="57">
        <f t="shared" si="7"/>
        <v>0</v>
      </c>
      <c r="E35" s="77"/>
      <c r="F35" s="57">
        <f t="shared" si="8"/>
        <v>0</v>
      </c>
      <c r="G35"/>
    </row>
    <row r="36" spans="1:7" x14ac:dyDescent="0.25">
      <c r="A36" s="75" t="s">
        <v>426</v>
      </c>
      <c r="B36" s="57"/>
      <c r="C36" s="76">
        <v>430</v>
      </c>
      <c r="D36" s="57">
        <f t="shared" si="7"/>
        <v>0</v>
      </c>
      <c r="E36" s="77"/>
      <c r="F36" s="57">
        <f t="shared" si="8"/>
        <v>0</v>
      </c>
    </row>
    <row r="37" spans="1:7" ht="30" x14ac:dyDescent="0.25">
      <c r="A37" s="75" t="s">
        <v>427</v>
      </c>
      <c r="B37" s="57"/>
      <c r="C37" s="76">
        <v>110</v>
      </c>
      <c r="D37" s="57">
        <f t="shared" si="7"/>
        <v>0</v>
      </c>
      <c r="E37" s="77"/>
      <c r="F37" s="57">
        <f t="shared" si="8"/>
        <v>0</v>
      </c>
    </row>
    <row r="38" spans="1:7" ht="30" x14ac:dyDescent="0.25">
      <c r="A38" s="75" t="s">
        <v>428</v>
      </c>
      <c r="B38" s="57"/>
      <c r="C38" s="76">
        <v>595</v>
      </c>
      <c r="D38" s="57">
        <f t="shared" si="7"/>
        <v>0</v>
      </c>
      <c r="E38" s="77"/>
      <c r="F38" s="57">
        <f t="shared" si="8"/>
        <v>0</v>
      </c>
    </row>
    <row r="39" spans="1:7" ht="30" x14ac:dyDescent="0.25">
      <c r="A39" s="75" t="s">
        <v>429</v>
      </c>
      <c r="B39" s="57"/>
      <c r="C39" s="76">
        <v>5</v>
      </c>
      <c r="D39" s="57">
        <f t="shared" si="7"/>
        <v>0</v>
      </c>
      <c r="E39" s="77"/>
      <c r="F39" s="57">
        <f t="shared" si="8"/>
        <v>0</v>
      </c>
    </row>
    <row r="40" spans="1:7" ht="30" x14ac:dyDescent="0.25">
      <c r="A40" s="75" t="s">
        <v>430</v>
      </c>
      <c r="B40" s="57"/>
      <c r="C40" s="76">
        <v>30</v>
      </c>
      <c r="D40" s="57">
        <f t="shared" si="7"/>
        <v>0</v>
      </c>
      <c r="E40" s="77"/>
      <c r="F40" s="57">
        <f t="shared" si="8"/>
        <v>0</v>
      </c>
    </row>
    <row r="41" spans="1:7" s="34" customFormat="1" ht="30" x14ac:dyDescent="0.25">
      <c r="A41" s="75" t="s">
        <v>431</v>
      </c>
      <c r="B41" s="57"/>
      <c r="C41" s="76">
        <v>0</v>
      </c>
      <c r="D41" s="57">
        <f t="shared" si="7"/>
        <v>0</v>
      </c>
      <c r="E41" s="77"/>
      <c r="F41" s="57">
        <f t="shared" si="8"/>
        <v>0</v>
      </c>
      <c r="G41"/>
    </row>
    <row r="42" spans="1:7" x14ac:dyDescent="0.25">
      <c r="A42" s="75" t="s">
        <v>432</v>
      </c>
      <c r="B42" s="57"/>
      <c r="C42" s="76">
        <v>0</v>
      </c>
      <c r="D42" s="57">
        <f t="shared" si="7"/>
        <v>0</v>
      </c>
      <c r="E42" s="77"/>
      <c r="F42" s="57">
        <f t="shared" si="8"/>
        <v>0</v>
      </c>
    </row>
    <row r="43" spans="1:7" ht="30" x14ac:dyDescent="0.25">
      <c r="A43" s="75" t="s">
        <v>433</v>
      </c>
      <c r="B43" s="57"/>
      <c r="C43" s="76">
        <v>0</v>
      </c>
      <c r="D43" s="57">
        <f t="shared" si="7"/>
        <v>0</v>
      </c>
      <c r="E43" s="77"/>
      <c r="F43" s="57">
        <f t="shared" si="8"/>
        <v>0</v>
      </c>
    </row>
    <row r="44" spans="1:7" ht="30" x14ac:dyDescent="0.25">
      <c r="A44" s="75" t="s">
        <v>434</v>
      </c>
      <c r="B44" s="57"/>
      <c r="C44" s="76">
        <v>0</v>
      </c>
      <c r="D44" s="57">
        <f t="shared" si="7"/>
        <v>0</v>
      </c>
      <c r="E44" s="77"/>
      <c r="F44" s="57">
        <f t="shared" si="8"/>
        <v>0</v>
      </c>
    </row>
    <row r="45" spans="1:7" ht="30" x14ac:dyDescent="0.25">
      <c r="A45" s="75" t="s">
        <v>435</v>
      </c>
      <c r="B45" s="57"/>
      <c r="C45" s="76">
        <v>0</v>
      </c>
      <c r="D45" s="57">
        <f t="shared" si="7"/>
        <v>0</v>
      </c>
      <c r="E45" s="77"/>
      <c r="F45" s="57">
        <f t="shared" si="8"/>
        <v>0</v>
      </c>
    </row>
    <row r="46" spans="1:7" ht="30" x14ac:dyDescent="0.25">
      <c r="A46" s="75" t="s">
        <v>436</v>
      </c>
      <c r="B46" s="57"/>
      <c r="C46" s="76">
        <v>0</v>
      </c>
      <c r="D46" s="57">
        <f t="shared" si="7"/>
        <v>0</v>
      </c>
      <c r="E46" s="77"/>
      <c r="F46" s="57">
        <f t="shared" si="8"/>
        <v>0</v>
      </c>
    </row>
    <row r="47" spans="1:7" x14ac:dyDescent="0.25">
      <c r="A47" s="75"/>
      <c r="B47" s="57"/>
      <c r="C47" s="76"/>
      <c r="D47" s="57">
        <f t="shared" ref="D47:D49" si="9">SUM(B47*C47)</f>
        <v>0</v>
      </c>
      <c r="E47" s="77"/>
      <c r="F47" s="57">
        <f t="shared" si="8"/>
        <v>0</v>
      </c>
    </row>
    <row r="48" spans="1:7" x14ac:dyDescent="0.25">
      <c r="A48" s="75"/>
      <c r="B48" s="57"/>
      <c r="C48" s="76"/>
      <c r="D48" s="57">
        <f t="shared" si="9"/>
        <v>0</v>
      </c>
      <c r="E48" s="77"/>
      <c r="F48" s="57">
        <f t="shared" si="8"/>
        <v>0</v>
      </c>
    </row>
    <row r="49" spans="1:7" x14ac:dyDescent="0.25">
      <c r="A49" s="75"/>
      <c r="B49" s="57"/>
      <c r="C49" s="76"/>
      <c r="D49" s="57">
        <f t="shared" si="9"/>
        <v>0</v>
      </c>
      <c r="E49" s="77"/>
      <c r="F49" s="57">
        <f t="shared" si="8"/>
        <v>0</v>
      </c>
    </row>
    <row r="50" spans="1:7" ht="15.75" x14ac:dyDescent="0.25">
      <c r="A50" s="275" t="s">
        <v>439</v>
      </c>
      <c r="B50" s="275"/>
      <c r="C50" s="275"/>
      <c r="D50" s="275"/>
      <c r="E50" s="275"/>
      <c r="F50" s="70">
        <f>SUM(F29:F49)</f>
        <v>0</v>
      </c>
    </row>
    <row r="51" spans="1:7" ht="18.75" x14ac:dyDescent="0.3">
      <c r="A51" s="280" t="s">
        <v>440</v>
      </c>
      <c r="B51" s="280"/>
      <c r="C51" s="280"/>
      <c r="D51" s="280"/>
      <c r="E51" s="280"/>
      <c r="F51" s="280"/>
    </row>
    <row r="52" spans="1:7" ht="30" x14ac:dyDescent="0.25">
      <c r="A52" s="72" t="s">
        <v>158</v>
      </c>
      <c r="B52" s="72" t="s">
        <v>94</v>
      </c>
      <c r="C52" s="73" t="s">
        <v>95</v>
      </c>
      <c r="D52" s="72" t="s">
        <v>96</v>
      </c>
      <c r="E52" s="74" t="s">
        <v>97</v>
      </c>
      <c r="F52" s="72" t="s">
        <v>4</v>
      </c>
    </row>
    <row r="53" spans="1:7" s="34" customFormat="1" x14ac:dyDescent="0.25">
      <c r="A53" s="75" t="s">
        <v>419</v>
      </c>
      <c r="B53" s="57"/>
      <c r="C53" s="76">
        <v>0</v>
      </c>
      <c r="D53" s="57">
        <f t="shared" ref="D53:D70" si="10">SUM(B53*C53)</f>
        <v>0</v>
      </c>
      <c r="E53" s="77"/>
      <c r="F53" s="57">
        <f t="shared" ref="F53:F73" si="11">D53-D53*E53</f>
        <v>0</v>
      </c>
      <c r="G53"/>
    </row>
    <row r="54" spans="1:7" x14ac:dyDescent="0.25">
      <c r="A54" s="75" t="s">
        <v>420</v>
      </c>
      <c r="B54" s="57"/>
      <c r="C54" s="76">
        <v>0</v>
      </c>
      <c r="D54" s="57">
        <f t="shared" si="10"/>
        <v>0</v>
      </c>
      <c r="E54" s="77"/>
      <c r="F54" s="57">
        <f t="shared" si="11"/>
        <v>0</v>
      </c>
    </row>
    <row r="55" spans="1:7" ht="30" x14ac:dyDescent="0.25">
      <c r="A55" s="75" t="s">
        <v>421</v>
      </c>
      <c r="B55" s="57"/>
      <c r="C55" s="76">
        <v>0</v>
      </c>
      <c r="D55" s="57">
        <f t="shared" si="10"/>
        <v>0</v>
      </c>
      <c r="E55" s="77"/>
      <c r="F55" s="57">
        <f t="shared" si="11"/>
        <v>0</v>
      </c>
    </row>
    <row r="56" spans="1:7" ht="30" x14ac:dyDescent="0.25">
      <c r="A56" s="75" t="s">
        <v>422</v>
      </c>
      <c r="B56" s="57"/>
      <c r="C56" s="76">
        <v>0</v>
      </c>
      <c r="D56" s="57">
        <f t="shared" si="10"/>
        <v>0</v>
      </c>
      <c r="E56" s="77"/>
      <c r="F56" s="57">
        <f t="shared" si="11"/>
        <v>0</v>
      </c>
    </row>
    <row r="57" spans="1:7" ht="30" x14ac:dyDescent="0.25">
      <c r="A57" s="75" t="s">
        <v>423</v>
      </c>
      <c r="B57" s="57"/>
      <c r="C57" s="76">
        <v>0</v>
      </c>
      <c r="D57" s="57">
        <f t="shared" si="10"/>
        <v>0</v>
      </c>
      <c r="E57" s="77"/>
      <c r="F57" s="57">
        <f t="shared" si="11"/>
        <v>0</v>
      </c>
    </row>
    <row r="58" spans="1:7" x14ac:dyDescent="0.25">
      <c r="A58" s="75" t="s">
        <v>424</v>
      </c>
      <c r="B58" s="57"/>
      <c r="C58" s="76">
        <v>0</v>
      </c>
      <c r="D58" s="57">
        <f t="shared" si="10"/>
        <v>0</v>
      </c>
      <c r="E58" s="77"/>
      <c r="F58" s="57">
        <f t="shared" si="11"/>
        <v>0</v>
      </c>
    </row>
    <row r="59" spans="1:7" s="34" customFormat="1" x14ac:dyDescent="0.25">
      <c r="A59" s="75" t="s">
        <v>425</v>
      </c>
      <c r="B59" s="57"/>
      <c r="C59" s="76">
        <v>0</v>
      </c>
      <c r="D59" s="57">
        <f t="shared" si="10"/>
        <v>0</v>
      </c>
      <c r="E59" s="77"/>
      <c r="F59" s="57">
        <f t="shared" si="11"/>
        <v>0</v>
      </c>
      <c r="G59"/>
    </row>
    <row r="60" spans="1:7" x14ac:dyDescent="0.25">
      <c r="A60" s="75" t="s">
        <v>426</v>
      </c>
      <c r="B60" s="57"/>
      <c r="C60" s="76">
        <v>0</v>
      </c>
      <c r="D60" s="57">
        <f t="shared" si="10"/>
        <v>0</v>
      </c>
      <c r="E60" s="77"/>
      <c r="F60" s="57">
        <f t="shared" si="11"/>
        <v>0</v>
      </c>
    </row>
    <row r="61" spans="1:7" ht="30" x14ac:dyDescent="0.25">
      <c r="A61" s="75" t="s">
        <v>427</v>
      </c>
      <c r="B61" s="57"/>
      <c r="C61" s="76">
        <v>0</v>
      </c>
      <c r="D61" s="57">
        <f t="shared" si="10"/>
        <v>0</v>
      </c>
      <c r="E61" s="77"/>
      <c r="F61" s="57">
        <f t="shared" si="11"/>
        <v>0</v>
      </c>
    </row>
    <row r="62" spans="1:7" ht="30" x14ac:dyDescent="0.25">
      <c r="A62" s="75" t="s">
        <v>428</v>
      </c>
      <c r="B62" s="57"/>
      <c r="C62" s="76">
        <v>0</v>
      </c>
      <c r="D62" s="57">
        <f t="shared" si="10"/>
        <v>0</v>
      </c>
      <c r="E62" s="77"/>
      <c r="F62" s="57">
        <f t="shared" si="11"/>
        <v>0</v>
      </c>
    </row>
    <row r="63" spans="1:7" ht="30" x14ac:dyDescent="0.25">
      <c r="A63" s="75" t="s">
        <v>429</v>
      </c>
      <c r="B63" s="57"/>
      <c r="C63" s="76">
        <v>0</v>
      </c>
      <c r="D63" s="57">
        <f t="shared" si="10"/>
        <v>0</v>
      </c>
      <c r="E63" s="77"/>
      <c r="F63" s="57">
        <f t="shared" si="11"/>
        <v>0</v>
      </c>
    </row>
    <row r="64" spans="1:7" x14ac:dyDescent="0.25">
      <c r="A64" s="75" t="s">
        <v>430</v>
      </c>
      <c r="B64" s="57"/>
      <c r="C64" s="76">
        <v>0</v>
      </c>
      <c r="D64" s="57">
        <f t="shared" si="10"/>
        <v>0</v>
      </c>
      <c r="E64" s="77"/>
      <c r="F64" s="57">
        <f t="shared" si="11"/>
        <v>0</v>
      </c>
    </row>
    <row r="65" spans="1:7" s="34" customFormat="1" ht="30" x14ac:dyDescent="0.25">
      <c r="A65" s="75" t="s">
        <v>431</v>
      </c>
      <c r="B65" s="57"/>
      <c r="C65" s="76">
        <v>339</v>
      </c>
      <c r="D65" s="57">
        <f t="shared" si="10"/>
        <v>0</v>
      </c>
      <c r="E65" s="77"/>
      <c r="F65" s="57">
        <f t="shared" si="11"/>
        <v>0</v>
      </c>
      <c r="G65"/>
    </row>
    <row r="66" spans="1:7" x14ac:dyDescent="0.25">
      <c r="A66" s="75" t="s">
        <v>432</v>
      </c>
      <c r="B66" s="57"/>
      <c r="C66" s="76">
        <v>1838</v>
      </c>
      <c r="D66" s="57">
        <f t="shared" si="10"/>
        <v>0</v>
      </c>
      <c r="E66" s="77"/>
      <c r="F66" s="57">
        <f t="shared" si="11"/>
        <v>0</v>
      </c>
    </row>
    <row r="67" spans="1:7" ht="30" x14ac:dyDescent="0.25">
      <c r="A67" s="75" t="s">
        <v>433</v>
      </c>
      <c r="B67" s="57"/>
      <c r="C67" s="76">
        <v>726</v>
      </c>
      <c r="D67" s="57">
        <f t="shared" si="10"/>
        <v>0</v>
      </c>
      <c r="E67" s="77"/>
      <c r="F67" s="57">
        <f t="shared" si="11"/>
        <v>0</v>
      </c>
    </row>
    <row r="68" spans="1:7" ht="30" x14ac:dyDescent="0.25">
      <c r="A68" s="75" t="s">
        <v>434</v>
      </c>
      <c r="B68" s="57"/>
      <c r="C68" s="76">
        <v>3930</v>
      </c>
      <c r="D68" s="57">
        <f t="shared" si="10"/>
        <v>0</v>
      </c>
      <c r="E68" s="77"/>
      <c r="F68" s="57">
        <f t="shared" si="11"/>
        <v>0</v>
      </c>
    </row>
    <row r="69" spans="1:7" ht="30" x14ac:dyDescent="0.25">
      <c r="A69" s="75" t="s">
        <v>435</v>
      </c>
      <c r="B69" s="57"/>
      <c r="C69" s="76">
        <v>23</v>
      </c>
      <c r="D69" s="57">
        <f t="shared" si="10"/>
        <v>0</v>
      </c>
      <c r="E69" s="77"/>
      <c r="F69" s="57">
        <f t="shared" si="11"/>
        <v>0</v>
      </c>
    </row>
    <row r="70" spans="1:7" ht="30" x14ac:dyDescent="0.25">
      <c r="A70" s="75" t="s">
        <v>436</v>
      </c>
      <c r="B70" s="57"/>
      <c r="C70" s="76">
        <v>127</v>
      </c>
      <c r="D70" s="57">
        <f t="shared" si="10"/>
        <v>0</v>
      </c>
      <c r="E70" s="77"/>
      <c r="F70" s="57">
        <f t="shared" si="11"/>
        <v>0</v>
      </c>
    </row>
    <row r="71" spans="1:7" x14ac:dyDescent="0.25">
      <c r="A71" s="75"/>
      <c r="B71" s="57"/>
      <c r="C71" s="76"/>
      <c r="D71" s="57">
        <f t="shared" ref="D71:D73" si="12">SUM(B71*C71)</f>
        <v>0</v>
      </c>
      <c r="E71" s="77"/>
      <c r="F71" s="57">
        <f t="shared" si="11"/>
        <v>0</v>
      </c>
    </row>
    <row r="72" spans="1:7" x14ac:dyDescent="0.25">
      <c r="A72" s="75"/>
      <c r="B72" s="57"/>
      <c r="C72" s="76"/>
      <c r="D72" s="57">
        <f t="shared" si="12"/>
        <v>0</v>
      </c>
      <c r="E72" s="77"/>
      <c r="F72" s="57">
        <f t="shared" si="11"/>
        <v>0</v>
      </c>
    </row>
    <row r="73" spans="1:7" x14ac:dyDescent="0.25">
      <c r="A73" s="75"/>
      <c r="B73" s="57"/>
      <c r="C73" s="76"/>
      <c r="D73" s="57">
        <f t="shared" si="12"/>
        <v>0</v>
      </c>
      <c r="E73" s="77"/>
      <c r="F73" s="57">
        <f t="shared" si="11"/>
        <v>0</v>
      </c>
    </row>
    <row r="74" spans="1:7" ht="15.75" x14ac:dyDescent="0.25">
      <c r="A74" s="275" t="s">
        <v>441</v>
      </c>
      <c r="B74" s="275"/>
      <c r="C74" s="275"/>
      <c r="D74" s="275"/>
      <c r="E74" s="275"/>
      <c r="F74" s="70">
        <f>SUM(F53:F73)</f>
        <v>0</v>
      </c>
    </row>
    <row r="75" spans="1:7" ht="18.75" x14ac:dyDescent="0.3">
      <c r="A75" s="276" t="s">
        <v>442</v>
      </c>
      <c r="B75" s="276"/>
      <c r="C75" s="276"/>
      <c r="D75" s="276"/>
      <c r="E75" s="276"/>
      <c r="F75" s="276"/>
    </row>
    <row r="76" spans="1:7" ht="31.5" customHeight="1" x14ac:dyDescent="0.25">
      <c r="A76" s="278" t="s">
        <v>443</v>
      </c>
      <c r="B76" s="278"/>
      <c r="C76" s="278"/>
      <c r="D76" s="278"/>
      <c r="E76" s="278"/>
      <c r="F76" s="278"/>
    </row>
    <row r="77" spans="1:7" ht="33" customHeight="1" x14ac:dyDescent="0.25">
      <c r="A77" s="278" t="s">
        <v>404</v>
      </c>
      <c r="B77" s="278"/>
      <c r="C77" s="278"/>
      <c r="D77" s="278"/>
      <c r="E77" s="278"/>
      <c r="F77" s="278"/>
    </row>
    <row r="78" spans="1:7" ht="15.75" x14ac:dyDescent="0.25">
      <c r="A78" s="277" t="s">
        <v>253</v>
      </c>
      <c r="B78" s="277"/>
      <c r="C78" s="277"/>
      <c r="D78" s="277"/>
      <c r="E78" s="215" t="s">
        <v>406</v>
      </c>
      <c r="F78" s="215" t="s">
        <v>298</v>
      </c>
      <c r="G78" s="49"/>
    </row>
    <row r="79" spans="1:7" ht="18.75" customHeight="1" x14ac:dyDescent="0.3">
      <c r="A79" s="280" t="s">
        <v>444</v>
      </c>
      <c r="B79" s="280"/>
      <c r="C79" s="280"/>
      <c r="D79" s="280"/>
      <c r="E79" s="280"/>
      <c r="F79" s="280"/>
      <c r="G79" s="79"/>
    </row>
    <row r="80" spans="1:7" ht="12.75" x14ac:dyDescent="0.2">
      <c r="A80" s="274"/>
      <c r="B80" s="274"/>
      <c r="C80" s="274"/>
      <c r="D80" s="274"/>
      <c r="E80" s="85"/>
      <c r="F80" s="63"/>
      <c r="G80" s="1"/>
    </row>
    <row r="81" spans="1:7" x14ac:dyDescent="0.25">
      <c r="A81" s="274"/>
      <c r="B81" s="274"/>
      <c r="C81" s="274"/>
      <c r="D81" s="274"/>
      <c r="E81" s="85"/>
      <c r="F81" s="63"/>
    </row>
    <row r="82" spans="1:7" x14ac:dyDescent="0.25">
      <c r="A82" s="274"/>
      <c r="B82" s="274"/>
      <c r="C82" s="274"/>
      <c r="D82" s="274"/>
      <c r="E82" s="85"/>
      <c r="F82" s="63"/>
    </row>
    <row r="83" spans="1:7" x14ac:dyDescent="0.25">
      <c r="A83" s="274"/>
      <c r="B83" s="274"/>
      <c r="C83" s="274"/>
      <c r="D83" s="274"/>
      <c r="E83" s="85"/>
      <c r="F83" s="63"/>
    </row>
    <row r="84" spans="1:7" ht="15.75" x14ac:dyDescent="0.25">
      <c r="A84" s="275" t="s">
        <v>445</v>
      </c>
      <c r="B84" s="275"/>
      <c r="C84" s="275"/>
      <c r="D84" s="275"/>
      <c r="E84" s="275"/>
      <c r="F84" s="167">
        <f>SUM(F80:F83)</f>
        <v>0</v>
      </c>
    </row>
    <row r="85" spans="1:7" ht="18.75" customHeight="1" x14ac:dyDescent="0.3">
      <c r="A85" s="282" t="s">
        <v>446</v>
      </c>
      <c r="B85" s="283"/>
      <c r="C85" s="283"/>
      <c r="D85" s="283"/>
      <c r="E85" s="283"/>
      <c r="F85" s="284"/>
      <c r="G85" s="79"/>
    </row>
    <row r="86" spans="1:7" x14ac:dyDescent="0.25">
      <c r="A86" s="285"/>
      <c r="B86" s="286"/>
      <c r="C86" s="286"/>
      <c r="D86" s="287"/>
      <c r="E86" s="85"/>
      <c r="F86" s="63"/>
    </row>
    <row r="87" spans="1:7" x14ac:dyDescent="0.25">
      <c r="A87" s="274"/>
      <c r="B87" s="274"/>
      <c r="C87" s="274"/>
      <c r="D87" s="274"/>
      <c r="E87" s="85"/>
      <c r="F87" s="63"/>
    </row>
    <row r="88" spans="1:7" x14ac:dyDescent="0.25">
      <c r="A88" s="274"/>
      <c r="B88" s="274"/>
      <c r="C88" s="274"/>
      <c r="D88" s="274"/>
      <c r="E88" s="85"/>
      <c r="F88" s="63"/>
    </row>
    <row r="89" spans="1:7" x14ac:dyDescent="0.25">
      <c r="A89" s="274"/>
      <c r="B89" s="274"/>
      <c r="C89" s="274"/>
      <c r="D89" s="274"/>
      <c r="E89" s="85"/>
      <c r="F89" s="63"/>
    </row>
    <row r="90" spans="1:7" ht="15.75" x14ac:dyDescent="0.25">
      <c r="A90" s="275" t="s">
        <v>447</v>
      </c>
      <c r="B90" s="275"/>
      <c r="C90" s="275"/>
      <c r="D90" s="275"/>
      <c r="E90" s="275"/>
      <c r="F90" s="167">
        <f>SUM(F86:F89)</f>
        <v>0</v>
      </c>
    </row>
    <row r="91" spans="1:7" ht="18.75" customHeight="1" x14ac:dyDescent="0.3">
      <c r="A91" s="280" t="s">
        <v>448</v>
      </c>
      <c r="B91" s="280"/>
      <c r="C91" s="280"/>
      <c r="D91" s="280"/>
      <c r="E91" s="280"/>
      <c r="F91" s="280"/>
      <c r="G91" s="79"/>
    </row>
    <row r="92" spans="1:7" x14ac:dyDescent="0.25">
      <c r="A92" s="274"/>
      <c r="B92" s="274"/>
      <c r="C92" s="274"/>
      <c r="D92" s="274"/>
      <c r="E92" s="85"/>
      <c r="F92" s="63"/>
    </row>
    <row r="93" spans="1:7" x14ac:dyDescent="0.25">
      <c r="A93" s="274"/>
      <c r="B93" s="274"/>
      <c r="C93" s="274"/>
      <c r="D93" s="274"/>
      <c r="E93" s="85"/>
      <c r="F93" s="63"/>
    </row>
    <row r="94" spans="1:7" x14ac:dyDescent="0.25">
      <c r="A94" s="274"/>
      <c r="B94" s="274"/>
      <c r="C94" s="274"/>
      <c r="D94" s="274"/>
      <c r="E94" s="85"/>
      <c r="F94" s="63"/>
    </row>
    <row r="95" spans="1:7" x14ac:dyDescent="0.25">
      <c r="A95" s="274"/>
      <c r="B95" s="274"/>
      <c r="C95" s="274"/>
      <c r="D95" s="274"/>
      <c r="E95" s="85"/>
      <c r="F95" s="63"/>
    </row>
    <row r="96" spans="1:7" ht="15.75" x14ac:dyDescent="0.25">
      <c r="A96" s="281" t="s">
        <v>449</v>
      </c>
      <c r="B96" s="281"/>
      <c r="C96" s="281"/>
      <c r="D96" s="281"/>
      <c r="E96" s="281"/>
      <c r="F96" s="167">
        <f>SUM(F92:F95)</f>
        <v>0</v>
      </c>
    </row>
    <row r="98" spans="1:6" ht="15.75" x14ac:dyDescent="0.25">
      <c r="A98" s="275" t="s">
        <v>450</v>
      </c>
      <c r="B98" s="275"/>
      <c r="C98" s="275"/>
      <c r="D98" s="275"/>
      <c r="E98" s="275"/>
      <c r="F98" s="167">
        <f>+F26+F84</f>
        <v>0</v>
      </c>
    </row>
    <row r="99" spans="1:6" ht="15.75" x14ac:dyDescent="0.25">
      <c r="A99" s="275" t="s">
        <v>451</v>
      </c>
      <c r="B99" s="275"/>
      <c r="C99" s="275"/>
      <c r="D99" s="275"/>
      <c r="E99" s="275"/>
      <c r="F99" s="167">
        <f>+F50+F90</f>
        <v>0</v>
      </c>
    </row>
    <row r="100" spans="1:6" ht="15.75" x14ac:dyDescent="0.25">
      <c r="A100" s="281" t="s">
        <v>452</v>
      </c>
      <c r="B100" s="281"/>
      <c r="C100" s="281"/>
      <c r="D100" s="281"/>
      <c r="E100" s="281"/>
      <c r="F100" s="167">
        <f>+F74+F96</f>
        <v>0</v>
      </c>
    </row>
    <row r="127" ht="35.1" customHeight="1" x14ac:dyDescent="0.25"/>
    <row r="128" ht="35.25" customHeight="1" x14ac:dyDescent="0.25"/>
    <row r="129" spans="1:7" s="34" customFormat="1" x14ac:dyDescent="0.25">
      <c r="A129"/>
      <c r="B129"/>
      <c r="C129" s="41"/>
      <c r="D129"/>
      <c r="E129" s="68"/>
      <c r="F129"/>
      <c r="G129"/>
    </row>
  </sheetData>
  <sheetProtection algorithmName="SHA-512" hashValue="lZ8EGUydJIzXSGkHTwpffJ6pfxvZzfVIO2EmGSCPIqbRG8Qd5JU+DXuLKylizvMRYoWmLyrexM2q1iG7o8VRaA==" saltValue="A8j1d/+ssOAb7WHHEulqgg==" spinCount="100000" sheet="1" objects="1" scenarios="1"/>
  <customSheetViews>
    <customSheetView guid="{2CCC7B39-935D-435C-BB32-70CB41003C82}" showPageBreaks="1">
      <selection activeCell="F5" sqref="F5"/>
      <rowBreaks count="1" manualBreakCount="1">
        <brk id="107" max="16383" man="1"/>
      </rowBreaks>
      <pageMargins left="0" right="0" top="0" bottom="0" header="0" footer="0"/>
      <printOptions horizontalCentered="1"/>
      <pageSetup scale="99" fitToHeight="6" orientation="portrait" r:id="rId1"/>
      <headerFooter>
        <oddHeader>&amp;L&amp;"-,Bold"Project 25 Radio System&amp;C&amp;"-,Bold"RFP # XXXX&amp;R&amp;"-,Bold"Attachment B - Proposal Pricing Forms</oddHeader>
      </headerFooter>
    </customSheetView>
    <customSheetView guid="{9C902D8C-99B9-4A37-8078-0EB8BCE2A547}">
      <selection activeCell="F5" sqref="F5"/>
      <rowBreaks count="1" manualBreakCount="1">
        <brk id="107" max="16383" man="1"/>
      </rowBreaks>
      <pageMargins left="0" right="0" top="0" bottom="0" header="0" footer="0"/>
      <printOptions horizontalCentered="1"/>
      <pageSetup scale="99" fitToHeight="6" orientation="portrait" r:id="rId2"/>
      <headerFooter>
        <oddHeader>&amp;L&amp;"-,Bold"Project 25 Radio System&amp;C&amp;"-,Bold"RFP # XXXX&amp;R&amp;"-,Bold"Attachment B - Proposal Pricing Forms</oddHeader>
      </headerFooter>
    </customSheetView>
    <customSheetView guid="{EFF273BD-F73A-4BFF-8940-4E7CE3C7328B}" topLeftCell="A105">
      <selection activeCell="A111" sqref="A111"/>
      <rowBreaks count="1" manualBreakCount="1">
        <brk id="107" max="16383" man="1"/>
      </rowBreaks>
      <pageMargins left="0" right="0" top="0" bottom="0" header="0" footer="0"/>
      <printOptions horizontalCentered="1"/>
      <pageSetup scale="99" fitToHeight="6" orientation="portrait" r:id="rId3"/>
      <headerFooter>
        <oddHeader>&amp;L&amp;"-,Bold"Project 25 Radio System&amp;C&amp;"-,Bold"RFP # XXXX&amp;R&amp;"-,Bold"Attachment B - Proposal Pricing Forms</oddHeader>
      </headerFooter>
    </customSheetView>
  </customSheetViews>
  <mergeCells count="33">
    <mergeCell ref="A1:F1"/>
    <mergeCell ref="A2:F2"/>
    <mergeCell ref="A3:F3"/>
    <mergeCell ref="A26:E26"/>
    <mergeCell ref="A27:F27"/>
    <mergeCell ref="A50:E50"/>
    <mergeCell ref="A51:F51"/>
    <mergeCell ref="A74:E74"/>
    <mergeCell ref="A75:F75"/>
    <mergeCell ref="A76:F76"/>
    <mergeCell ref="A77:F77"/>
    <mergeCell ref="A78:D78"/>
    <mergeCell ref="A80:D80"/>
    <mergeCell ref="A81:D81"/>
    <mergeCell ref="A79:F79"/>
    <mergeCell ref="A82:D82"/>
    <mergeCell ref="A83:D83"/>
    <mergeCell ref="A87:D87"/>
    <mergeCell ref="A85:F85"/>
    <mergeCell ref="A86:D86"/>
    <mergeCell ref="A84:E84"/>
    <mergeCell ref="A88:D88"/>
    <mergeCell ref="A89:D89"/>
    <mergeCell ref="A92:D92"/>
    <mergeCell ref="A91:F91"/>
    <mergeCell ref="A96:E96"/>
    <mergeCell ref="A90:E90"/>
    <mergeCell ref="A98:E98"/>
    <mergeCell ref="A99:E99"/>
    <mergeCell ref="A100:E100"/>
    <mergeCell ref="A95:D95"/>
    <mergeCell ref="A93:D93"/>
    <mergeCell ref="A94:D94"/>
  </mergeCells>
  <printOptions horizontalCentered="1"/>
  <pageMargins left="0.7" right="0.7" top="0.75" bottom="0.75" header="0.3" footer="0.3"/>
  <pageSetup scale="80" fitToHeight="6" orientation="portrait" r:id="rId4"/>
  <headerFooter>
    <oddHeader>&amp;L&amp;"-,Bold"Project 25 Radio System&amp;C&amp;"-,Bold"RFP # 697-16-016&amp;R&amp;"-,Bold"Attachment B - Proposal Pricing Forms</oddHeader>
    <oddFooter>&amp;L&amp;"Arial,Regular"Confidential, Proprietary &amp;&amp;
Competition Sensitive&amp;C&amp;G&amp;R&amp;"Arial,Regular"January 19, 2018
Page &amp;P</oddFooter>
  </headerFooter>
  <rowBreaks count="1" manualBreakCount="1">
    <brk id="12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832452e-6321-41c8-904b-24b2eaad5973">
      <Terms xmlns="http://schemas.microsoft.com/office/infopath/2007/PartnerControls"/>
    </lcf76f155ced4ddcb4097134ff3c332f>
    <TaxCatchAll xmlns="bc3dc3c5-41ef-4dc8-b504-db9d40f66a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2A4E44411C284A901C1DF4352D563F" ma:contentTypeVersion="14" ma:contentTypeDescription="Create a new document." ma:contentTypeScope="" ma:versionID="9d7641619119342dd3958f54c7339fb9">
  <xsd:schema xmlns:xsd="http://www.w3.org/2001/XMLSchema" xmlns:xs="http://www.w3.org/2001/XMLSchema" xmlns:p="http://schemas.microsoft.com/office/2006/metadata/properties" xmlns:ns2="3832452e-6321-41c8-904b-24b2eaad5973" xmlns:ns3="bc3dc3c5-41ef-4dc8-b504-db9d40f66a26" targetNamespace="http://schemas.microsoft.com/office/2006/metadata/properties" ma:root="true" ma:fieldsID="4354e13a7750602c88035cec133c10af" ns2:_="" ns3:_="">
    <xsd:import namespace="3832452e-6321-41c8-904b-24b2eaad5973"/>
    <xsd:import namespace="bc3dc3c5-41ef-4dc8-b504-db9d40f66a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2452e-6321-41c8-904b-24b2eaad59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b48f011-0c99-48a8-b23c-e11e698ab5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3dc3c5-41ef-4dc8-b504-db9d40f66a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5a7e687-8fe3-4e76-8a05-f0bf1a72d403}" ma:internalName="TaxCatchAll" ma:showField="CatchAllData" ma:web="bc3dc3c5-41ef-4dc8-b504-db9d40f66a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650F83-9195-41A1-95F9-A69C0D178785}">
  <ds:schemaRefs>
    <ds:schemaRef ds:uri="http://schemas.microsoft.com/office/2006/metadata/properties"/>
    <ds:schemaRef ds:uri="http://schemas.microsoft.com/office/infopath/2007/PartnerControls"/>
    <ds:schemaRef ds:uri="3fd00403-f16b-4294-842f-197da1c2154d"/>
    <ds:schemaRef ds:uri="d31e14b8-2386-4d4b-9764-e890565e20e6"/>
    <ds:schemaRef ds:uri="3832452e-6321-41c8-904b-24b2eaad5973"/>
    <ds:schemaRef ds:uri="bc3dc3c5-41ef-4dc8-b504-db9d40f66a26"/>
  </ds:schemaRefs>
</ds:datastoreItem>
</file>

<file path=customXml/itemProps2.xml><?xml version="1.0" encoding="utf-8"?>
<ds:datastoreItem xmlns:ds="http://schemas.openxmlformats.org/officeDocument/2006/customXml" ds:itemID="{0F2E653A-681C-4E3B-A144-7FD2AB49520F}">
  <ds:schemaRefs>
    <ds:schemaRef ds:uri="http://schemas.microsoft.com/sharepoint/v3/contenttype/forms"/>
  </ds:schemaRefs>
</ds:datastoreItem>
</file>

<file path=customXml/itemProps3.xml><?xml version="1.0" encoding="utf-8"?>
<ds:datastoreItem xmlns:ds="http://schemas.openxmlformats.org/officeDocument/2006/customXml" ds:itemID="{F1C9AB05-24D8-48FF-93C6-2429E5B082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2452e-6321-41c8-904b-24b2eaad5973"/>
    <ds:schemaRef ds:uri="bc3dc3c5-41ef-4dc8-b504-db9d40f66a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Table B.1 - Total Washoe Cost</vt:lpstr>
      <vt:lpstr>Table B.8 - WC System</vt:lpstr>
      <vt:lpstr>Table B.9 - WC Spares</vt:lpstr>
      <vt:lpstr>Table B.10 - WC Services</vt:lpstr>
      <vt:lpstr>Table B.11 - Greenfield Sites-D</vt:lpstr>
      <vt:lpstr>Table B.12 - Lifecyle Support</vt:lpstr>
      <vt:lpstr>Table B.13 - Post-Support</vt:lpstr>
      <vt:lpstr>Table B.14 - Dispatch</vt:lpstr>
      <vt:lpstr>Table B.15b - User Radios</vt:lpstr>
      <vt:lpstr>Table B.15 - User Radios</vt:lpstr>
      <vt:lpstr>Radio Sites</vt:lpstr>
      <vt:lpstr>'Radio Sites'!_GoBack</vt:lpstr>
      <vt:lpstr>'Table B.1 - Total Washoe Cost'!Print_Area</vt:lpstr>
      <vt:lpstr>'Table B.10 - WC Services'!Print_Area</vt:lpstr>
      <vt:lpstr>'Table B.11 - Greenfield Sites-D'!Print_Area</vt:lpstr>
      <vt:lpstr>'Table B.15 - User Radios'!Print_Area</vt:lpstr>
      <vt:lpstr>'Table B.8 - WC System'!Print_Area</vt:lpstr>
      <vt:lpstr>'Table B.1 - Total Washoe Cost'!Print_Titles</vt:lpstr>
      <vt:lpstr>'Table B.11 - Greenfield Sites-D'!Print_Titles</vt:lpstr>
      <vt:lpstr>'Table B.12 - Lifecyle Support'!Print_Titles</vt:lpstr>
      <vt:lpstr>'Table B.13 - Post-Support'!Print_Titles</vt:lpstr>
      <vt:lpstr>'Table B.14 - Dispatch'!Print_Titles</vt:lpstr>
      <vt:lpstr>'Table B.15b - User Radios'!Print_Titles</vt:lpstr>
      <vt:lpstr>'Table B.8 - WC System'!Print_Titles</vt:lpstr>
      <vt:lpstr>'Table B.9 - WC Spares'!Print_Titles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Federal Engineering, Inc.</dc:creator>
  <cp:keywords/>
  <dc:description/>
  <cp:lastModifiedBy>DeLozier, Sara</cp:lastModifiedBy>
  <cp:revision/>
  <cp:lastPrinted>2024-01-20T02:23:18Z</cp:lastPrinted>
  <dcterms:created xsi:type="dcterms:W3CDTF">2012-01-18T23:58:35Z</dcterms:created>
  <dcterms:modified xsi:type="dcterms:W3CDTF">2024-01-20T02:27:58Z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6cf7a69f-2c82-49ad-921c-89fac489ecea</vt:lpwstr>
  </property>
  <property fmtid="{D5CDD505-2E9C-101B-9397-08002B2CF9AE}" pid="4" name="CLASSIFICATION">
    <vt:lpwstr>General</vt:lpwstr>
  </property>
  <property fmtid="{D5CDD505-2E9C-101B-9397-08002B2CF9AE}" pid="5" name="ContentTypeId">
    <vt:lpwstr>0x010100C9525CBF603BAC4E897D957AF02495F1</vt:lpwstr>
  </property>
  <property fmtid="{D5CDD505-2E9C-101B-9397-08002B2CF9AE}" pid="6" name="MediaServiceImageTags">
    <vt:lpwstr/>
  </property>
</Properties>
</file>